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Projects\CREDS-Theme6\CleanGrowthStrategy\Database\"/>
    </mc:Choice>
  </mc:AlternateContent>
  <xr:revisionPtr revIDLastSave="0" documentId="13_ncr:1_{60ECAFF4-52F9-4437-A9E1-0FDDF14D1C34}" xr6:coauthVersionLast="36" xr6:coauthVersionMax="36" xr10:uidLastSave="{00000000-0000-0000-0000-000000000000}"/>
  <bookViews>
    <workbookView xWindow="0" yWindow="0" windowWidth="28800" windowHeight="12225" xr2:uid="{00000000-000D-0000-FFFF-FFFF00000000}"/>
  </bookViews>
  <sheets>
    <sheet name="Introduction" sheetId="5" r:id="rId1"/>
    <sheet name="1_PolicyDatabase" sheetId="2" r:id="rId2"/>
    <sheet name="2_MetaAnalysis" sheetId="3" r:id="rId3"/>
    <sheet name="3_Investment" sheetId="4" r:id="rId4"/>
    <sheet name="4_Other" sheetId="1" r:id="rId5"/>
  </sheets>
  <definedNames>
    <definedName name="_ftn1" localSheetId="0">Introduction!#REF!</definedName>
    <definedName name="_ftn2" localSheetId="0">Introduction!#REF!</definedName>
    <definedName name="_ftnref1" localSheetId="0">Introduction!$B$19</definedName>
    <definedName name="_ftnref2" localSheetId="0">Introduction!$B$21</definedName>
    <definedName name="Table2">Tab_Homes[]</definedName>
    <definedName name="TableIB">Tab_Industry[]</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3" l="1"/>
  <c r="AQ12" i="3"/>
  <c r="H12" i="3" l="1"/>
  <c r="AJ12" i="3"/>
  <c r="AK12" i="3"/>
  <c r="AL12" i="3"/>
  <c r="AM12" i="3"/>
  <c r="AN12" i="3"/>
  <c r="AO12" i="3"/>
  <c r="AP12" i="3"/>
  <c r="F12" i="3"/>
  <c r="H25" i="4"/>
  <c r="H30" i="4"/>
  <c r="D25" i="4"/>
  <c r="D13" i="4"/>
  <c r="U93" i="2"/>
  <c r="X93" i="2" s="1"/>
  <c r="U94" i="2"/>
  <c r="X94" i="2" s="1"/>
  <c r="U95" i="2"/>
  <c r="X95" i="2" s="1"/>
  <c r="U96" i="2"/>
  <c r="X96" i="2" s="1"/>
  <c r="U97" i="2"/>
  <c r="X97" i="2" s="1"/>
  <c r="U98" i="2"/>
  <c r="X98" i="2" s="1"/>
  <c r="U99" i="2"/>
  <c r="X99" i="2" s="1"/>
  <c r="U100" i="2"/>
  <c r="X100" i="2" s="1"/>
  <c r="U101" i="2"/>
  <c r="X101" i="2" s="1"/>
  <c r="U102" i="2"/>
  <c r="X102" i="2" s="1"/>
  <c r="U103" i="2"/>
  <c r="X103" i="2" s="1"/>
  <c r="U104" i="2"/>
  <c r="X104" i="2" s="1"/>
  <c r="U105" i="2"/>
  <c r="X105" i="2" s="1"/>
  <c r="U106" i="2"/>
  <c r="X106" i="2" s="1"/>
  <c r="U107" i="2"/>
  <c r="X107" i="2" s="1"/>
  <c r="U108" i="2"/>
  <c r="X108" i="2" s="1"/>
  <c r="U109" i="2"/>
  <c r="X109" i="2" s="1"/>
  <c r="U110" i="2"/>
  <c r="X110" i="2" s="1"/>
  <c r="U111" i="2"/>
  <c r="X111" i="2" s="1"/>
  <c r="U112" i="2"/>
  <c r="X112" i="2" s="1"/>
  <c r="U113" i="2"/>
  <c r="X113" i="2" s="1"/>
  <c r="U114" i="2"/>
  <c r="X114" i="2" s="1"/>
  <c r="U115" i="2"/>
  <c r="X115" i="2" s="1"/>
  <c r="U116" i="2"/>
  <c r="X116" i="2" s="1"/>
  <c r="U117" i="2"/>
  <c r="X117" i="2" s="1"/>
  <c r="U118" i="2"/>
  <c r="X118" i="2" s="1"/>
  <c r="U119" i="2"/>
  <c r="X119" i="2" s="1"/>
  <c r="U120" i="2"/>
  <c r="X120" i="2" s="1"/>
  <c r="U121" i="2"/>
  <c r="X121" i="2" s="1"/>
  <c r="U122" i="2"/>
  <c r="X122" i="2" s="1"/>
  <c r="U123" i="2"/>
  <c r="X123" i="2" s="1"/>
  <c r="U124" i="2"/>
  <c r="X124" i="2" s="1"/>
  <c r="U125" i="2"/>
  <c r="X125" i="2" s="1"/>
  <c r="U126" i="2"/>
  <c r="X126" i="2" s="1"/>
  <c r="U127" i="2"/>
  <c r="X127" i="2" s="1"/>
  <c r="U128" i="2"/>
  <c r="X128" i="2" s="1"/>
  <c r="U129" i="2"/>
  <c r="X129" i="2" s="1"/>
  <c r="U130" i="2"/>
  <c r="X130" i="2" s="1"/>
  <c r="U131" i="2"/>
  <c r="X131" i="2" s="1"/>
  <c r="U132" i="2"/>
  <c r="X132" i="2" s="1"/>
  <c r="U133" i="2"/>
  <c r="X133" i="2" s="1"/>
  <c r="U134" i="2"/>
  <c r="X134" i="2" s="1"/>
  <c r="U135" i="2"/>
  <c r="X135" i="2" s="1"/>
  <c r="U136" i="2"/>
  <c r="X136" i="2" s="1"/>
  <c r="U137" i="2"/>
  <c r="X137" i="2" s="1"/>
  <c r="U138" i="2"/>
  <c r="X138" i="2" s="1"/>
  <c r="U139" i="2"/>
  <c r="X139" i="2" s="1"/>
  <c r="U140" i="2"/>
  <c r="X140" i="2" s="1"/>
  <c r="U141" i="2"/>
  <c r="X141" i="2" s="1"/>
  <c r="U92" i="2"/>
  <c r="X92" i="2" s="1"/>
  <c r="P99" i="2"/>
  <c r="Q99" i="2"/>
  <c r="R99" i="2"/>
  <c r="S99" i="2"/>
  <c r="T99" i="2"/>
  <c r="W99" i="2"/>
  <c r="V99" i="2"/>
  <c r="V239" i="2" l="1"/>
  <c r="V240" i="2"/>
  <c r="V241" i="2"/>
  <c r="V242" i="2"/>
  <c r="V243" i="2"/>
  <c r="V244" i="2"/>
  <c r="V245" i="2"/>
  <c r="V246" i="2"/>
  <c r="V247" i="2"/>
  <c r="V248" i="2"/>
  <c r="V249" i="2"/>
  <c r="V250" i="2"/>
  <c r="V251" i="2"/>
  <c r="V238"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184" i="2"/>
  <c r="Y11" i="3"/>
  <c r="X11" i="3"/>
  <c r="W11" i="3"/>
  <c r="V11" i="3"/>
  <c r="U11" i="3"/>
  <c r="T11" i="3"/>
  <c r="S11" i="3"/>
  <c r="R11" i="3"/>
  <c r="Y10" i="3"/>
  <c r="X10" i="3"/>
  <c r="W10" i="3"/>
  <c r="V10" i="3"/>
  <c r="U10" i="3"/>
  <c r="T10" i="3"/>
  <c r="S10" i="3"/>
  <c r="R10" i="3"/>
  <c r="Y9" i="3"/>
  <c r="X9" i="3"/>
  <c r="W9" i="3"/>
  <c r="V9" i="3"/>
  <c r="U9" i="3"/>
  <c r="T9" i="3"/>
  <c r="S9" i="3"/>
  <c r="R9" i="3"/>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50" i="2"/>
  <c r="Y6" i="3"/>
  <c r="X6" i="3"/>
  <c r="W6" i="3"/>
  <c r="V6" i="3"/>
  <c r="U6" i="3"/>
  <c r="T6" i="3"/>
  <c r="S6" i="3"/>
  <c r="R6" i="3"/>
  <c r="Y7" i="3"/>
  <c r="X7" i="3"/>
  <c r="W7" i="3"/>
  <c r="V7" i="3"/>
  <c r="U7" i="3"/>
  <c r="T7" i="3"/>
  <c r="S7" i="3"/>
  <c r="R7" i="3"/>
  <c r="Y8" i="3"/>
  <c r="X8" i="3"/>
  <c r="W8" i="3"/>
  <c r="V8" i="3"/>
  <c r="U8" i="3"/>
  <c r="T8" i="3"/>
  <c r="S8" i="3"/>
  <c r="R8" i="3"/>
  <c r="B85" i="3" l="1"/>
  <c r="Y12" i="3"/>
  <c r="R12" i="3"/>
  <c r="S12" i="3"/>
  <c r="B86" i="3" s="1"/>
  <c r="W12" i="3"/>
  <c r="B90" i="3" s="1"/>
  <c r="U12" i="3"/>
  <c r="V12" i="3"/>
  <c r="T12" i="3"/>
  <c r="X12" i="3"/>
  <c r="B91" i="3" s="1"/>
  <c r="AC11" i="3"/>
  <c r="AG11" i="3"/>
  <c r="AH10" i="3"/>
  <c r="B88" i="3"/>
  <c r="B92" i="3"/>
  <c r="AF11" i="3"/>
  <c r="B87" i="3"/>
  <c r="B89" i="3"/>
  <c r="AG10" i="3"/>
  <c r="AD10" i="3"/>
  <c r="AA10" i="3"/>
  <c r="AE10" i="3"/>
  <c r="AB10" i="3"/>
  <c r="AF10" i="3"/>
  <c r="AC10" i="3"/>
  <c r="AD11" i="3"/>
  <c r="AH11" i="3"/>
  <c r="AA11" i="3"/>
  <c r="AE11" i="3"/>
  <c r="AB11" i="3"/>
  <c r="AG9" i="3"/>
  <c r="AD9" i="3"/>
  <c r="AH9" i="3"/>
  <c r="AA9" i="3"/>
  <c r="AE9" i="3"/>
  <c r="AB9" i="3"/>
  <c r="AF9" i="3"/>
  <c r="AC9" i="3"/>
  <c r="V93" i="2" l="1"/>
  <c r="V94" i="2"/>
  <c r="V95" i="2"/>
  <c r="V96" i="2"/>
  <c r="V97" i="2"/>
  <c r="V98"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92"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44"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7" i="2"/>
  <c r="O253" i="2"/>
  <c r="P244" i="2"/>
  <c r="Q244" i="2"/>
  <c r="R244" i="2"/>
  <c r="S244" i="2"/>
  <c r="T244" i="2"/>
  <c r="U244" i="2"/>
  <c r="D30" i="4"/>
  <c r="O231" i="2"/>
  <c r="W239" i="2"/>
  <c r="X239" i="2"/>
  <c r="W240" i="2"/>
  <c r="X240" i="2"/>
  <c r="W241" i="2"/>
  <c r="X241" i="2"/>
  <c r="W242" i="2"/>
  <c r="X242" i="2"/>
  <c r="W243" i="2"/>
  <c r="X243" i="2"/>
  <c r="W245" i="2"/>
  <c r="X245" i="2"/>
  <c r="W246" i="2"/>
  <c r="X246" i="2"/>
  <c r="W247" i="2"/>
  <c r="X247" i="2"/>
  <c r="W248" i="2"/>
  <c r="X248" i="2"/>
  <c r="W249" i="2"/>
  <c r="X249" i="2"/>
  <c r="W250" i="2"/>
  <c r="X250" i="2"/>
  <c r="W251" i="2"/>
  <c r="X251" i="2"/>
  <c r="X238" i="2"/>
  <c r="W238" i="2"/>
  <c r="W185" i="2"/>
  <c r="X185" i="2"/>
  <c r="W186" i="2"/>
  <c r="X186" i="2"/>
  <c r="W187" i="2"/>
  <c r="X187" i="2"/>
  <c r="W188" i="2"/>
  <c r="X188" i="2"/>
  <c r="W189" i="2"/>
  <c r="X189" i="2"/>
  <c r="W190" i="2"/>
  <c r="X190" i="2"/>
  <c r="W191" i="2"/>
  <c r="X191" i="2"/>
  <c r="W192" i="2"/>
  <c r="X192" i="2"/>
  <c r="W193" i="2"/>
  <c r="X193" i="2"/>
  <c r="W194" i="2"/>
  <c r="X194" i="2"/>
  <c r="W195" i="2"/>
  <c r="X195" i="2"/>
  <c r="W196" i="2"/>
  <c r="X196" i="2"/>
  <c r="W197" i="2"/>
  <c r="X197" i="2"/>
  <c r="W198" i="2"/>
  <c r="X198" i="2"/>
  <c r="W199" i="2"/>
  <c r="X199" i="2"/>
  <c r="W200" i="2"/>
  <c r="X200" i="2"/>
  <c r="W201" i="2"/>
  <c r="X201" i="2"/>
  <c r="W202" i="2"/>
  <c r="X202" i="2"/>
  <c r="W203" i="2"/>
  <c r="X203" i="2"/>
  <c r="W204" i="2"/>
  <c r="X204" i="2"/>
  <c r="W205" i="2"/>
  <c r="X205" i="2"/>
  <c r="W206" i="2"/>
  <c r="X206" i="2"/>
  <c r="W207" i="2"/>
  <c r="X207" i="2"/>
  <c r="W208" i="2"/>
  <c r="X208" i="2"/>
  <c r="W209" i="2"/>
  <c r="X209" i="2"/>
  <c r="W210" i="2"/>
  <c r="X210" i="2"/>
  <c r="W211" i="2"/>
  <c r="X211" i="2"/>
  <c r="W212" i="2"/>
  <c r="X212" i="2"/>
  <c r="W213" i="2"/>
  <c r="X213" i="2"/>
  <c r="W214" i="2"/>
  <c r="X214" i="2"/>
  <c r="W215" i="2"/>
  <c r="X215" i="2"/>
  <c r="W216" i="2"/>
  <c r="X216" i="2"/>
  <c r="W217" i="2"/>
  <c r="X217" i="2"/>
  <c r="W218" i="2"/>
  <c r="X218" i="2"/>
  <c r="W219" i="2"/>
  <c r="X219" i="2"/>
  <c r="W220" i="2"/>
  <c r="X220" i="2"/>
  <c r="W221" i="2"/>
  <c r="X221" i="2"/>
  <c r="W222" i="2"/>
  <c r="X222" i="2"/>
  <c r="W223" i="2"/>
  <c r="X223" i="2"/>
  <c r="W224" i="2"/>
  <c r="X224" i="2"/>
  <c r="W225" i="2"/>
  <c r="X225" i="2"/>
  <c r="W226" i="2"/>
  <c r="X226" i="2"/>
  <c r="W227" i="2"/>
  <c r="X227" i="2"/>
  <c r="W228" i="2"/>
  <c r="X228" i="2"/>
  <c r="W229" i="2"/>
  <c r="X229" i="2"/>
  <c r="X184" i="2"/>
  <c r="W184" i="2"/>
  <c r="AE7" i="3" l="1"/>
  <c r="AA7" i="3"/>
  <c r="AH7" i="3"/>
  <c r="AD7" i="3"/>
  <c r="AF7" i="3"/>
  <c r="AG7" i="3"/>
  <c r="AC7" i="3"/>
  <c r="AB7" i="3"/>
  <c r="AE6" i="3"/>
  <c r="AA6" i="3"/>
  <c r="AF6" i="3"/>
  <c r="AH6" i="3"/>
  <c r="AD6" i="3"/>
  <c r="AG6" i="3"/>
  <c r="AC6" i="3"/>
  <c r="AB6" i="3"/>
  <c r="AF8" i="3"/>
  <c r="AB8" i="3"/>
  <c r="AE8" i="3"/>
  <c r="AA8" i="3"/>
  <c r="AH8" i="3"/>
  <c r="AD8" i="3"/>
  <c r="AG8" i="3"/>
  <c r="AC8" i="3"/>
  <c r="O178" i="2"/>
  <c r="W151" i="2"/>
  <c r="X151" i="2"/>
  <c r="W152" i="2"/>
  <c r="X152" i="2"/>
  <c r="W153" i="2"/>
  <c r="X153" i="2"/>
  <c r="W154" i="2"/>
  <c r="X154" i="2"/>
  <c r="W155" i="2"/>
  <c r="X155" i="2"/>
  <c r="W156" i="2"/>
  <c r="X156" i="2"/>
  <c r="W157" i="2"/>
  <c r="X157" i="2"/>
  <c r="W158" i="2"/>
  <c r="X158" i="2"/>
  <c r="W159" i="2"/>
  <c r="X159" i="2"/>
  <c r="W160" i="2"/>
  <c r="X160" i="2"/>
  <c r="W161" i="2"/>
  <c r="X161" i="2"/>
  <c r="W162" i="2"/>
  <c r="X162" i="2"/>
  <c r="W163" i="2"/>
  <c r="X163" i="2"/>
  <c r="W164" i="2"/>
  <c r="X164" i="2"/>
  <c r="W165" i="2"/>
  <c r="X165" i="2"/>
  <c r="W166" i="2"/>
  <c r="X166" i="2"/>
  <c r="W167" i="2"/>
  <c r="X167" i="2"/>
  <c r="W168" i="2"/>
  <c r="X168" i="2"/>
  <c r="W169" i="2"/>
  <c r="X169" i="2"/>
  <c r="W170" i="2"/>
  <c r="X170" i="2"/>
  <c r="W171" i="2"/>
  <c r="X171" i="2"/>
  <c r="W172" i="2"/>
  <c r="X172" i="2"/>
  <c r="W173" i="2"/>
  <c r="X173" i="2"/>
  <c r="W174" i="2"/>
  <c r="X174" i="2"/>
  <c r="W175" i="2"/>
  <c r="X175" i="2"/>
  <c r="W176" i="2"/>
  <c r="X176" i="2"/>
  <c r="X150" i="2"/>
  <c r="W150" i="2"/>
  <c r="O143" i="2"/>
  <c r="W93" i="2"/>
  <c r="W94" i="2"/>
  <c r="W95" i="2"/>
  <c r="W96" i="2"/>
  <c r="W97" i="2"/>
  <c r="W98" i="2"/>
  <c r="W100" i="2"/>
  <c r="W101" i="2"/>
  <c r="W102" i="2"/>
  <c r="W103" i="2"/>
  <c r="W104" i="2"/>
  <c r="W105" i="2"/>
  <c r="W106" i="2"/>
  <c r="W107" i="2"/>
  <c r="W108" i="2"/>
  <c r="W109" i="2"/>
  <c r="W110" i="2"/>
  <c r="W111" i="2"/>
  <c r="W112" i="2"/>
  <c r="W113" i="2"/>
  <c r="W114" i="2"/>
  <c r="W115" i="2"/>
  <c r="W116" i="2"/>
  <c r="W117" i="2"/>
  <c r="W118" i="2"/>
  <c r="W119" i="2"/>
  <c r="W120" i="2"/>
  <c r="W121" i="2"/>
  <c r="W122" i="2"/>
  <c r="W123" i="2"/>
  <c r="W124" i="2"/>
  <c r="W125" i="2"/>
  <c r="W126" i="2"/>
  <c r="W127" i="2"/>
  <c r="W128" i="2"/>
  <c r="W129" i="2"/>
  <c r="W130" i="2"/>
  <c r="W131" i="2"/>
  <c r="W132" i="2"/>
  <c r="W133" i="2"/>
  <c r="W134" i="2"/>
  <c r="W135" i="2"/>
  <c r="W136" i="2"/>
  <c r="W137" i="2"/>
  <c r="W138" i="2"/>
  <c r="W139" i="2"/>
  <c r="W140" i="2"/>
  <c r="W141" i="2"/>
  <c r="W92" i="2"/>
  <c r="R239" i="2"/>
  <c r="S239" i="2"/>
  <c r="R240" i="2"/>
  <c r="S240" i="2"/>
  <c r="R241" i="2"/>
  <c r="S241" i="2"/>
  <c r="R242" i="2"/>
  <c r="S242" i="2"/>
  <c r="R243" i="2"/>
  <c r="S243" i="2"/>
  <c r="R245" i="2"/>
  <c r="S245" i="2"/>
  <c r="R246" i="2"/>
  <c r="S246" i="2"/>
  <c r="R247" i="2"/>
  <c r="S247" i="2"/>
  <c r="R248" i="2"/>
  <c r="S248" i="2"/>
  <c r="R249" i="2"/>
  <c r="S249" i="2"/>
  <c r="R250" i="2"/>
  <c r="S250" i="2"/>
  <c r="R251" i="2"/>
  <c r="S251" i="2"/>
  <c r="R185" i="2"/>
  <c r="S185" i="2"/>
  <c r="R186" i="2"/>
  <c r="S186" i="2"/>
  <c r="R187" i="2"/>
  <c r="S187" i="2"/>
  <c r="R188" i="2"/>
  <c r="S188" i="2"/>
  <c r="R189" i="2"/>
  <c r="S189" i="2"/>
  <c r="R190" i="2"/>
  <c r="S190" i="2"/>
  <c r="R191" i="2"/>
  <c r="S191" i="2"/>
  <c r="R192" i="2"/>
  <c r="S192" i="2"/>
  <c r="R193" i="2"/>
  <c r="S193" i="2"/>
  <c r="R194" i="2"/>
  <c r="S194" i="2"/>
  <c r="R195" i="2"/>
  <c r="S195" i="2"/>
  <c r="R196" i="2"/>
  <c r="S196" i="2"/>
  <c r="R197" i="2"/>
  <c r="S197" i="2"/>
  <c r="R198" i="2"/>
  <c r="S198" i="2"/>
  <c r="R199" i="2"/>
  <c r="S199" i="2"/>
  <c r="R200" i="2"/>
  <c r="S200" i="2"/>
  <c r="R201" i="2"/>
  <c r="S201" i="2"/>
  <c r="R202" i="2"/>
  <c r="S202" i="2"/>
  <c r="R203" i="2"/>
  <c r="S203" i="2"/>
  <c r="R204" i="2"/>
  <c r="S204" i="2"/>
  <c r="R205" i="2"/>
  <c r="S205" i="2"/>
  <c r="R206" i="2"/>
  <c r="S206" i="2"/>
  <c r="R207" i="2"/>
  <c r="S207" i="2"/>
  <c r="R208" i="2"/>
  <c r="S208" i="2"/>
  <c r="R209" i="2"/>
  <c r="S209" i="2"/>
  <c r="R210" i="2"/>
  <c r="S210" i="2"/>
  <c r="R211" i="2"/>
  <c r="S211" i="2"/>
  <c r="R212" i="2"/>
  <c r="S212" i="2"/>
  <c r="R213" i="2"/>
  <c r="S213" i="2"/>
  <c r="R214" i="2"/>
  <c r="S214" i="2"/>
  <c r="R215" i="2"/>
  <c r="S215" i="2"/>
  <c r="R216" i="2"/>
  <c r="S216" i="2"/>
  <c r="R217" i="2"/>
  <c r="S217" i="2"/>
  <c r="R218" i="2"/>
  <c r="S218" i="2"/>
  <c r="R219" i="2"/>
  <c r="S219" i="2"/>
  <c r="R220" i="2"/>
  <c r="S220" i="2"/>
  <c r="R221" i="2"/>
  <c r="S221" i="2"/>
  <c r="R222" i="2"/>
  <c r="S222" i="2"/>
  <c r="R223" i="2"/>
  <c r="S223" i="2"/>
  <c r="R224" i="2"/>
  <c r="S224" i="2"/>
  <c r="R225" i="2"/>
  <c r="S225" i="2"/>
  <c r="R226" i="2"/>
  <c r="S226" i="2"/>
  <c r="R227" i="2"/>
  <c r="S227" i="2"/>
  <c r="R228" i="2"/>
  <c r="S228" i="2"/>
  <c r="R229" i="2"/>
  <c r="S229" i="2"/>
  <c r="R151" i="2"/>
  <c r="S151" i="2"/>
  <c r="R152" i="2"/>
  <c r="S152" i="2"/>
  <c r="R153" i="2"/>
  <c r="S153" i="2"/>
  <c r="R154" i="2"/>
  <c r="S154" i="2"/>
  <c r="R155" i="2"/>
  <c r="S155" i="2"/>
  <c r="R156" i="2"/>
  <c r="S156" i="2"/>
  <c r="R157" i="2"/>
  <c r="S157" i="2"/>
  <c r="R158" i="2"/>
  <c r="S158" i="2"/>
  <c r="R159" i="2"/>
  <c r="S159" i="2"/>
  <c r="R160" i="2"/>
  <c r="S160" i="2"/>
  <c r="R161" i="2"/>
  <c r="S161" i="2"/>
  <c r="R162" i="2"/>
  <c r="S162" i="2"/>
  <c r="R163" i="2"/>
  <c r="S163" i="2"/>
  <c r="R164" i="2"/>
  <c r="S164" i="2"/>
  <c r="R165" i="2"/>
  <c r="S165" i="2"/>
  <c r="R166" i="2"/>
  <c r="S166" i="2"/>
  <c r="R167" i="2"/>
  <c r="S167" i="2"/>
  <c r="R168" i="2"/>
  <c r="S168" i="2"/>
  <c r="R169" i="2"/>
  <c r="S169" i="2"/>
  <c r="R170" i="2"/>
  <c r="S170" i="2"/>
  <c r="R171" i="2"/>
  <c r="S171" i="2"/>
  <c r="R172" i="2"/>
  <c r="S172" i="2"/>
  <c r="R173" i="2"/>
  <c r="S173" i="2"/>
  <c r="R174" i="2"/>
  <c r="S174" i="2"/>
  <c r="R175" i="2"/>
  <c r="S175" i="2"/>
  <c r="R176" i="2"/>
  <c r="S176" i="2"/>
  <c r="R93" i="2"/>
  <c r="S93" i="2"/>
  <c r="R94" i="2"/>
  <c r="S94" i="2"/>
  <c r="R95" i="2"/>
  <c r="S95" i="2"/>
  <c r="R96" i="2"/>
  <c r="S96" i="2"/>
  <c r="R97" i="2"/>
  <c r="S97" i="2"/>
  <c r="R98" i="2"/>
  <c r="S98" i="2"/>
  <c r="R100" i="2"/>
  <c r="S100" i="2"/>
  <c r="R101" i="2"/>
  <c r="S101" i="2"/>
  <c r="R102" i="2"/>
  <c r="S102" i="2"/>
  <c r="R103" i="2"/>
  <c r="S103" i="2"/>
  <c r="R104" i="2"/>
  <c r="S104" i="2"/>
  <c r="R105" i="2"/>
  <c r="S105" i="2"/>
  <c r="R106" i="2"/>
  <c r="S106" i="2"/>
  <c r="R107" i="2"/>
  <c r="S107" i="2"/>
  <c r="R108" i="2"/>
  <c r="S108" i="2"/>
  <c r="R109" i="2"/>
  <c r="S109" i="2"/>
  <c r="R110" i="2"/>
  <c r="S110" i="2"/>
  <c r="R111" i="2"/>
  <c r="S111" i="2"/>
  <c r="R112" i="2"/>
  <c r="S112" i="2"/>
  <c r="R113" i="2"/>
  <c r="S113" i="2"/>
  <c r="R114" i="2"/>
  <c r="S114" i="2"/>
  <c r="R115" i="2"/>
  <c r="S115" i="2"/>
  <c r="R116" i="2"/>
  <c r="S116" i="2"/>
  <c r="R117" i="2"/>
  <c r="S117" i="2"/>
  <c r="R118" i="2"/>
  <c r="S118" i="2"/>
  <c r="R119" i="2"/>
  <c r="S119" i="2"/>
  <c r="R120" i="2"/>
  <c r="S120" i="2"/>
  <c r="R121" i="2"/>
  <c r="S121" i="2"/>
  <c r="R122" i="2"/>
  <c r="S122" i="2"/>
  <c r="R123" i="2"/>
  <c r="S123" i="2"/>
  <c r="R124" i="2"/>
  <c r="S124" i="2"/>
  <c r="R125" i="2"/>
  <c r="S125" i="2"/>
  <c r="R126" i="2"/>
  <c r="S126" i="2"/>
  <c r="R127" i="2"/>
  <c r="S127" i="2"/>
  <c r="R128" i="2"/>
  <c r="S128" i="2"/>
  <c r="R129" i="2"/>
  <c r="S129" i="2"/>
  <c r="R130" i="2"/>
  <c r="S130" i="2"/>
  <c r="R131" i="2"/>
  <c r="S131" i="2"/>
  <c r="R132" i="2"/>
  <c r="S132" i="2"/>
  <c r="R133" i="2"/>
  <c r="S133" i="2"/>
  <c r="R134" i="2"/>
  <c r="S134" i="2"/>
  <c r="R135" i="2"/>
  <c r="S135" i="2"/>
  <c r="R136" i="2"/>
  <c r="S136" i="2"/>
  <c r="R137" i="2"/>
  <c r="S137" i="2"/>
  <c r="R138" i="2"/>
  <c r="S138" i="2"/>
  <c r="R139" i="2"/>
  <c r="S139" i="2"/>
  <c r="R140" i="2"/>
  <c r="S140" i="2"/>
  <c r="R141" i="2"/>
  <c r="S141" i="2"/>
  <c r="H13" i="4"/>
  <c r="AH12" i="3" l="1"/>
  <c r="D92" i="3" s="1"/>
  <c r="G92" i="3" s="1"/>
  <c r="AB12" i="3"/>
  <c r="D86" i="3" s="1"/>
  <c r="G86" i="3" s="1"/>
  <c r="AC12" i="3"/>
  <c r="D87" i="3" s="1"/>
  <c r="G87" i="3" s="1"/>
  <c r="AF12" i="3"/>
  <c r="D90" i="3" s="1"/>
  <c r="G90" i="3" s="1"/>
  <c r="AG12" i="3"/>
  <c r="D91" i="3" s="1"/>
  <c r="G91" i="3" s="1"/>
  <c r="AA12" i="3"/>
  <c r="D85" i="3" s="1"/>
  <c r="G85" i="3" s="1"/>
  <c r="AD12" i="3"/>
  <c r="D88" i="3" s="1"/>
  <c r="G88" i="3" s="1"/>
  <c r="AE12" i="3"/>
  <c r="D89" i="3" s="1"/>
  <c r="G89" i="3" s="1"/>
  <c r="O85"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R68" i="2"/>
  <c r="S68" i="2"/>
  <c r="R69" i="2"/>
  <c r="S69" i="2"/>
  <c r="R70" i="2"/>
  <c r="S70" i="2"/>
  <c r="R71" i="2"/>
  <c r="S71" i="2"/>
  <c r="R72" i="2"/>
  <c r="S72" i="2"/>
  <c r="R73" i="2"/>
  <c r="S73" i="2"/>
  <c r="R74" i="2"/>
  <c r="S74" i="2"/>
  <c r="R75" i="2"/>
  <c r="S75" i="2"/>
  <c r="R76" i="2"/>
  <c r="S76" i="2"/>
  <c r="R77" i="2"/>
  <c r="S77" i="2"/>
  <c r="R78" i="2"/>
  <c r="S78" i="2"/>
  <c r="R79" i="2"/>
  <c r="S79" i="2"/>
  <c r="R80" i="2"/>
  <c r="S80" i="2"/>
  <c r="R81" i="2"/>
  <c r="S81" i="2"/>
  <c r="R82" i="2"/>
  <c r="S82" i="2"/>
  <c r="R83" i="2"/>
  <c r="S83" i="2"/>
  <c r="W45" i="2"/>
  <c r="X45" i="2"/>
  <c r="W46" i="2"/>
  <c r="X46" i="2"/>
  <c r="W47" i="2"/>
  <c r="X47" i="2"/>
  <c r="W48" i="2"/>
  <c r="X48" i="2"/>
  <c r="W49" i="2"/>
  <c r="X49" i="2"/>
  <c r="W50" i="2"/>
  <c r="X50" i="2"/>
  <c r="W51" i="2"/>
  <c r="X51" i="2"/>
  <c r="W52" i="2"/>
  <c r="X52" i="2"/>
  <c r="W53" i="2"/>
  <c r="X53" i="2"/>
  <c r="W54" i="2"/>
  <c r="X54" i="2"/>
  <c r="W55" i="2"/>
  <c r="X55" i="2"/>
  <c r="W56" i="2"/>
  <c r="X56" i="2"/>
  <c r="W57" i="2"/>
  <c r="X57" i="2"/>
  <c r="W58" i="2"/>
  <c r="X58" i="2"/>
  <c r="W59" i="2"/>
  <c r="X59" i="2"/>
  <c r="W60" i="2"/>
  <c r="X60" i="2"/>
  <c r="W61" i="2"/>
  <c r="X61" i="2"/>
  <c r="W62" i="2"/>
  <c r="X62" i="2"/>
  <c r="W63" i="2"/>
  <c r="X63" i="2"/>
  <c r="W64" i="2"/>
  <c r="X64" i="2"/>
  <c r="W65" i="2"/>
  <c r="X65" i="2"/>
  <c r="W66" i="2"/>
  <c r="X66" i="2"/>
  <c r="W67" i="2"/>
  <c r="X67" i="2"/>
  <c r="W68" i="2"/>
  <c r="X68" i="2"/>
  <c r="W69" i="2"/>
  <c r="X69" i="2"/>
  <c r="W70" i="2"/>
  <c r="X70" i="2"/>
  <c r="W71" i="2"/>
  <c r="X71" i="2"/>
  <c r="W72" i="2"/>
  <c r="X72" i="2"/>
  <c r="W73" i="2"/>
  <c r="X73" i="2"/>
  <c r="W74" i="2"/>
  <c r="X74" i="2"/>
  <c r="W75" i="2"/>
  <c r="X75" i="2"/>
  <c r="W76" i="2"/>
  <c r="X76" i="2"/>
  <c r="W77" i="2"/>
  <c r="X77" i="2"/>
  <c r="W78" i="2"/>
  <c r="X78" i="2"/>
  <c r="W79" i="2"/>
  <c r="X79" i="2"/>
  <c r="W80" i="2"/>
  <c r="X80" i="2"/>
  <c r="W81" i="2"/>
  <c r="X81" i="2"/>
  <c r="W82" i="2"/>
  <c r="X82" i="2"/>
  <c r="W83" i="2"/>
  <c r="X83" i="2"/>
  <c r="X44" i="2"/>
  <c r="W44" i="2"/>
  <c r="H8" i="4"/>
  <c r="D8" i="4"/>
  <c r="O3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7" i="2"/>
  <c r="R238" i="2" l="1"/>
  <c r="R253" i="2" s="1"/>
  <c r="S238" i="2"/>
  <c r="S253" i="2" s="1"/>
  <c r="R184" i="2"/>
  <c r="S184" i="2"/>
  <c r="R150" i="2"/>
  <c r="S150" i="2"/>
  <c r="R92" i="2"/>
  <c r="S92" i="2"/>
  <c r="R44" i="2"/>
  <c r="S44" i="2"/>
  <c r="R8" i="2"/>
  <c r="S8" i="2"/>
  <c r="R9" i="2"/>
  <c r="S9" i="2"/>
  <c r="R10" i="2"/>
  <c r="S10" i="2"/>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R25" i="2"/>
  <c r="S25" i="2"/>
  <c r="R26" i="2"/>
  <c r="S26" i="2"/>
  <c r="R27" i="2"/>
  <c r="S27" i="2"/>
  <c r="R28" i="2"/>
  <c r="S28" i="2"/>
  <c r="R29" i="2"/>
  <c r="S29" i="2"/>
  <c r="R30" i="2"/>
  <c r="S30" i="2"/>
  <c r="R31" i="2"/>
  <c r="S31" i="2"/>
  <c r="R32" i="2"/>
  <c r="S32" i="2"/>
  <c r="R33" i="2"/>
  <c r="S33" i="2"/>
  <c r="R34" i="2"/>
  <c r="S34" i="2"/>
  <c r="R35" i="2"/>
  <c r="S35" i="2"/>
  <c r="S7" i="2"/>
  <c r="R7" i="2"/>
  <c r="P185" i="2"/>
  <c r="Q185" i="2"/>
  <c r="P186" i="2"/>
  <c r="Q186" i="2"/>
  <c r="P187" i="2"/>
  <c r="Q187" i="2"/>
  <c r="P188" i="2"/>
  <c r="Q188" i="2"/>
  <c r="P189" i="2"/>
  <c r="Q189" i="2"/>
  <c r="P190" i="2"/>
  <c r="Q190" i="2"/>
  <c r="P191" i="2"/>
  <c r="Q191" i="2"/>
  <c r="P192" i="2"/>
  <c r="Q192" i="2"/>
  <c r="P193" i="2"/>
  <c r="Q193" i="2"/>
  <c r="P194" i="2"/>
  <c r="Q194" i="2"/>
  <c r="P195" i="2"/>
  <c r="Q195" i="2"/>
  <c r="P196" i="2"/>
  <c r="Q196" i="2"/>
  <c r="P197" i="2"/>
  <c r="Q197" i="2"/>
  <c r="P198" i="2"/>
  <c r="Q198" i="2"/>
  <c r="P199" i="2"/>
  <c r="Q199" i="2"/>
  <c r="P200" i="2"/>
  <c r="Q200" i="2"/>
  <c r="P201" i="2"/>
  <c r="Q201" i="2"/>
  <c r="P202" i="2"/>
  <c r="Q202" i="2"/>
  <c r="P203" i="2"/>
  <c r="Q203" i="2"/>
  <c r="P204" i="2"/>
  <c r="Q204" i="2"/>
  <c r="P205" i="2"/>
  <c r="Q205" i="2"/>
  <c r="P206" i="2"/>
  <c r="Q206" i="2"/>
  <c r="P207" i="2"/>
  <c r="Q207" i="2"/>
  <c r="P208" i="2"/>
  <c r="Q208" i="2"/>
  <c r="P209" i="2"/>
  <c r="Q209" i="2"/>
  <c r="P210" i="2"/>
  <c r="Q210" i="2"/>
  <c r="P211" i="2"/>
  <c r="Q211" i="2"/>
  <c r="P212" i="2"/>
  <c r="Q212" i="2"/>
  <c r="P213" i="2"/>
  <c r="Q213" i="2"/>
  <c r="P214" i="2"/>
  <c r="Q214" i="2"/>
  <c r="P215" i="2"/>
  <c r="Q215" i="2"/>
  <c r="P216" i="2"/>
  <c r="Q216" i="2"/>
  <c r="P217" i="2"/>
  <c r="Q217" i="2"/>
  <c r="P218" i="2"/>
  <c r="Q218" i="2"/>
  <c r="P219" i="2"/>
  <c r="Q219" i="2"/>
  <c r="P220" i="2"/>
  <c r="Q220" i="2"/>
  <c r="P221" i="2"/>
  <c r="Q221" i="2"/>
  <c r="P222" i="2"/>
  <c r="Q222" i="2"/>
  <c r="P223" i="2"/>
  <c r="Q223" i="2"/>
  <c r="P224" i="2"/>
  <c r="Q224" i="2"/>
  <c r="P225" i="2"/>
  <c r="Q225" i="2"/>
  <c r="P226" i="2"/>
  <c r="Q226" i="2"/>
  <c r="P227" i="2"/>
  <c r="Q227" i="2"/>
  <c r="P228" i="2"/>
  <c r="Q228" i="2"/>
  <c r="P229" i="2"/>
  <c r="Q229" i="2"/>
  <c r="Q184" i="2"/>
  <c r="P184" i="2"/>
  <c r="P156" i="2"/>
  <c r="Q156" i="2"/>
  <c r="P157" i="2"/>
  <c r="Q157" i="2"/>
  <c r="P158" i="2"/>
  <c r="Q158" i="2"/>
  <c r="P159" i="2"/>
  <c r="Q159" i="2"/>
  <c r="P160" i="2"/>
  <c r="Q160" i="2"/>
  <c r="P161" i="2"/>
  <c r="Q161" i="2"/>
  <c r="P162" i="2"/>
  <c r="Q162" i="2"/>
  <c r="P163" i="2"/>
  <c r="Q163" i="2"/>
  <c r="P164" i="2"/>
  <c r="Q164" i="2"/>
  <c r="P165" i="2"/>
  <c r="Q165" i="2"/>
  <c r="P166" i="2"/>
  <c r="Q166" i="2"/>
  <c r="P167" i="2"/>
  <c r="Q167" i="2"/>
  <c r="P168" i="2"/>
  <c r="Q168" i="2"/>
  <c r="P169" i="2"/>
  <c r="Q169" i="2"/>
  <c r="P170" i="2"/>
  <c r="Q170" i="2"/>
  <c r="P171" i="2"/>
  <c r="Q171" i="2"/>
  <c r="P172" i="2"/>
  <c r="Q172" i="2"/>
  <c r="P173" i="2"/>
  <c r="Q173" i="2"/>
  <c r="P174" i="2"/>
  <c r="Q174" i="2"/>
  <c r="P175" i="2"/>
  <c r="Q175" i="2"/>
  <c r="P176" i="2"/>
  <c r="Q176" i="2"/>
  <c r="P106" i="2"/>
  <c r="Q106" i="2"/>
  <c r="P107" i="2"/>
  <c r="Q107" i="2"/>
  <c r="P108" i="2"/>
  <c r="Q108" i="2"/>
  <c r="P109" i="2"/>
  <c r="Q109" i="2"/>
  <c r="P110" i="2"/>
  <c r="Q110" i="2"/>
  <c r="P111" i="2"/>
  <c r="Q111" i="2"/>
  <c r="P112" i="2"/>
  <c r="Q112" i="2"/>
  <c r="P113" i="2"/>
  <c r="Q113" i="2"/>
  <c r="P114" i="2"/>
  <c r="Q114" i="2"/>
  <c r="P115" i="2"/>
  <c r="Q115" i="2"/>
  <c r="P116" i="2"/>
  <c r="Q116" i="2"/>
  <c r="P117" i="2"/>
  <c r="Q117" i="2"/>
  <c r="P118" i="2"/>
  <c r="Q118" i="2"/>
  <c r="P119" i="2"/>
  <c r="Q119" i="2"/>
  <c r="P120" i="2"/>
  <c r="Q120" i="2"/>
  <c r="P121" i="2"/>
  <c r="Q121" i="2"/>
  <c r="P122" i="2"/>
  <c r="Q122" i="2"/>
  <c r="P123" i="2"/>
  <c r="Q123" i="2"/>
  <c r="P124" i="2"/>
  <c r="Q124" i="2"/>
  <c r="P125" i="2"/>
  <c r="Q125" i="2"/>
  <c r="P126" i="2"/>
  <c r="Q126" i="2"/>
  <c r="P127" i="2"/>
  <c r="Q127" i="2"/>
  <c r="P128" i="2"/>
  <c r="Q128" i="2"/>
  <c r="P129" i="2"/>
  <c r="Q129" i="2"/>
  <c r="P130" i="2"/>
  <c r="Q130" i="2"/>
  <c r="P131" i="2"/>
  <c r="Q131" i="2"/>
  <c r="P132" i="2"/>
  <c r="Q132" i="2"/>
  <c r="P133" i="2"/>
  <c r="Q133" i="2"/>
  <c r="P134" i="2"/>
  <c r="Q134" i="2"/>
  <c r="P135" i="2"/>
  <c r="Q135" i="2"/>
  <c r="P136" i="2"/>
  <c r="Q136" i="2"/>
  <c r="P137" i="2"/>
  <c r="Q137" i="2"/>
  <c r="P138" i="2"/>
  <c r="Q138" i="2"/>
  <c r="P139" i="2"/>
  <c r="Q139" i="2"/>
  <c r="P140" i="2"/>
  <c r="Q140" i="2"/>
  <c r="P141" i="2"/>
  <c r="Q141"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18" i="2"/>
  <c r="Q18"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231" i="2" l="1"/>
  <c r="N10" i="3"/>
  <c r="S231" i="2"/>
  <c r="Q231" i="2"/>
  <c r="M10" i="3"/>
  <c r="R231" i="2"/>
  <c r="N9" i="3"/>
  <c r="S178" i="2"/>
  <c r="M9" i="3"/>
  <c r="R178" i="2"/>
  <c r="M8" i="3"/>
  <c r="R143" i="2"/>
  <c r="N8" i="3"/>
  <c r="S143" i="2"/>
  <c r="S85" i="2"/>
  <c r="N7" i="3"/>
  <c r="R85" i="2"/>
  <c r="M7" i="3"/>
  <c r="M11" i="3"/>
  <c r="N11" i="3"/>
  <c r="S37" i="2"/>
  <c r="R37" i="2"/>
  <c r="N6" i="3"/>
  <c r="M6" i="3"/>
  <c r="J7" i="3"/>
  <c r="J8" i="3"/>
  <c r="J9" i="3"/>
  <c r="J10" i="3"/>
  <c r="J11" i="3"/>
  <c r="J6" i="3"/>
  <c r="T35" i="2"/>
  <c r="U35" i="2"/>
  <c r="I11" i="3"/>
  <c r="I10" i="3"/>
  <c r="I9" i="3"/>
  <c r="I8" i="3"/>
  <c r="I6" i="3"/>
  <c r="I7" i="3"/>
  <c r="N21" i="3" l="1"/>
  <c r="M21" i="3"/>
  <c r="R21" i="3"/>
  <c r="V21" i="3"/>
  <c r="X21" i="3"/>
  <c r="Y21" i="3"/>
  <c r="W21" i="3"/>
  <c r="S21" i="3"/>
  <c r="T21" i="3"/>
  <c r="U21" i="3"/>
  <c r="J21" i="3"/>
  <c r="J20" i="3"/>
  <c r="N20" i="3"/>
  <c r="S20" i="3"/>
  <c r="X20" i="3"/>
  <c r="W20" i="3"/>
  <c r="V20" i="3"/>
  <c r="R20" i="3"/>
  <c r="U20" i="3"/>
  <c r="T20" i="3"/>
  <c r="Y20" i="3"/>
  <c r="M20" i="3"/>
  <c r="N19" i="3"/>
  <c r="J19" i="3"/>
  <c r="S19" i="3"/>
  <c r="X19" i="3"/>
  <c r="W19" i="3"/>
  <c r="R19" i="3"/>
  <c r="Y19" i="3"/>
  <c r="V19" i="3"/>
  <c r="U19" i="3"/>
  <c r="T19" i="3"/>
  <c r="M19" i="3"/>
  <c r="M18" i="3"/>
  <c r="U18" i="3"/>
  <c r="W18" i="3"/>
  <c r="R18" i="3"/>
  <c r="Y18" i="3"/>
  <c r="V18" i="3"/>
  <c r="T18" i="3"/>
  <c r="S18" i="3"/>
  <c r="X18" i="3"/>
  <c r="J18" i="3"/>
  <c r="N18" i="3"/>
  <c r="N16" i="3"/>
  <c r="M16" i="3"/>
  <c r="J16" i="3"/>
  <c r="Y16" i="3"/>
  <c r="W16" i="3"/>
  <c r="R16" i="3"/>
  <c r="U16" i="3"/>
  <c r="V16" i="3"/>
  <c r="T16" i="3"/>
  <c r="S16" i="3"/>
  <c r="X16" i="3"/>
  <c r="Y17" i="3"/>
  <c r="R17" i="3"/>
  <c r="X17" i="3"/>
  <c r="U17" i="3"/>
  <c r="V17" i="3"/>
  <c r="T17" i="3"/>
  <c r="S17" i="3"/>
  <c r="W17" i="3"/>
  <c r="M17" i="3"/>
  <c r="N17" i="3"/>
  <c r="J17" i="3"/>
  <c r="M12" i="3"/>
  <c r="N12" i="3"/>
  <c r="J12" i="3"/>
  <c r="I12" i="3"/>
  <c r="Z9" i="3"/>
  <c r="Z19" i="3" s="1"/>
  <c r="B79" i="3"/>
  <c r="Z10" i="3"/>
  <c r="Z20" i="3" s="1"/>
  <c r="B80" i="3"/>
  <c r="Z6" i="3"/>
  <c r="Z16" i="3" s="1"/>
  <c r="B76" i="3"/>
  <c r="Z11" i="3"/>
  <c r="Z21" i="3" s="1"/>
  <c r="B81" i="3"/>
  <c r="Z7" i="3"/>
  <c r="Z17" i="3" s="1"/>
  <c r="B77" i="3"/>
  <c r="Z8" i="3"/>
  <c r="Z18" i="3" s="1"/>
  <c r="B78" i="3"/>
  <c r="P44" i="2"/>
  <c r="Q44" i="2"/>
  <c r="T44" i="2"/>
  <c r="U44" i="2"/>
  <c r="U27" i="2"/>
  <c r="T27" i="2"/>
  <c r="U26" i="2"/>
  <c r="T26" i="2"/>
  <c r="U25" i="2"/>
  <c r="T25" i="2"/>
  <c r="U24" i="2"/>
  <c r="T24" i="2"/>
  <c r="U23" i="2"/>
  <c r="T23" i="2"/>
  <c r="M13" i="3" l="1"/>
  <c r="J13" i="3"/>
  <c r="N13" i="3"/>
  <c r="Z12" i="3"/>
  <c r="B93" i="3" s="1"/>
  <c r="B94" i="3" s="1"/>
  <c r="T28" i="2"/>
  <c r="U28" i="2"/>
  <c r="T29" i="2"/>
  <c r="U29" i="2"/>
  <c r="T30" i="2"/>
  <c r="U30" i="2"/>
  <c r="T31" i="2"/>
  <c r="U31" i="2"/>
  <c r="T32" i="2"/>
  <c r="U32" i="2"/>
  <c r="T33" i="2"/>
  <c r="U33" i="2"/>
  <c r="T34" i="2"/>
  <c r="U34" i="2"/>
  <c r="T45" i="2"/>
  <c r="U45" i="2"/>
  <c r="T46" i="2"/>
  <c r="U46" i="2"/>
  <c r="T47" i="2"/>
  <c r="U47" i="2"/>
  <c r="T48" i="2"/>
  <c r="U48" i="2"/>
  <c r="T49" i="2"/>
  <c r="U49" i="2"/>
  <c r="T50" i="2"/>
  <c r="U50" i="2"/>
  <c r="T51" i="2"/>
  <c r="U51" i="2"/>
  <c r="T52" i="2"/>
  <c r="U52" i="2"/>
  <c r="T53" i="2"/>
  <c r="U53" i="2"/>
  <c r="T54" i="2"/>
  <c r="U54" i="2"/>
  <c r="T55" i="2"/>
  <c r="U55" i="2"/>
  <c r="T56" i="2"/>
  <c r="U56" i="2"/>
  <c r="T57" i="2"/>
  <c r="U57" i="2"/>
  <c r="T58" i="2"/>
  <c r="U58" i="2"/>
  <c r="T59" i="2"/>
  <c r="U59" i="2"/>
  <c r="T60" i="2"/>
  <c r="U60" i="2"/>
  <c r="T61" i="2"/>
  <c r="U61" i="2"/>
  <c r="T62" i="2"/>
  <c r="U62" i="2"/>
  <c r="T63" i="2"/>
  <c r="U63" i="2"/>
  <c r="T64" i="2"/>
  <c r="U64" i="2"/>
  <c r="T65" i="2"/>
  <c r="U65" i="2"/>
  <c r="T66" i="2"/>
  <c r="U66" i="2"/>
  <c r="T67" i="2"/>
  <c r="U67" i="2"/>
  <c r="T68" i="2"/>
  <c r="U68" i="2"/>
  <c r="T69" i="2"/>
  <c r="U69" i="2"/>
  <c r="T70" i="2"/>
  <c r="U70" i="2"/>
  <c r="T71" i="2"/>
  <c r="U71" i="2"/>
  <c r="T72" i="2"/>
  <c r="U72" i="2"/>
  <c r="T73" i="2"/>
  <c r="U73" i="2"/>
  <c r="T74" i="2"/>
  <c r="U74" i="2"/>
  <c r="T75" i="2"/>
  <c r="U75" i="2"/>
  <c r="T76" i="2"/>
  <c r="U76" i="2"/>
  <c r="T77" i="2"/>
  <c r="U77" i="2"/>
  <c r="T78" i="2"/>
  <c r="U78" i="2"/>
  <c r="T79" i="2"/>
  <c r="U79" i="2"/>
  <c r="T80" i="2"/>
  <c r="U80" i="2"/>
  <c r="T81" i="2"/>
  <c r="U81" i="2"/>
  <c r="T82" i="2"/>
  <c r="U82" i="2"/>
  <c r="T83" i="2"/>
  <c r="U83" i="2"/>
  <c r="T92" i="2"/>
  <c r="T93" i="2"/>
  <c r="T94" i="2"/>
  <c r="T95" i="2"/>
  <c r="T96" i="2"/>
  <c r="T97" i="2"/>
  <c r="T98"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50" i="2"/>
  <c r="U150" i="2"/>
  <c r="T151" i="2"/>
  <c r="U151" i="2"/>
  <c r="T152" i="2"/>
  <c r="U152" i="2"/>
  <c r="T153" i="2"/>
  <c r="U153" i="2"/>
  <c r="T154" i="2"/>
  <c r="U154" i="2"/>
  <c r="T155" i="2"/>
  <c r="U155" i="2"/>
  <c r="T156" i="2"/>
  <c r="U156" i="2"/>
  <c r="T157" i="2"/>
  <c r="U157" i="2"/>
  <c r="T158" i="2"/>
  <c r="U158" i="2"/>
  <c r="T159" i="2"/>
  <c r="U159" i="2"/>
  <c r="T160" i="2"/>
  <c r="U160" i="2"/>
  <c r="T161" i="2"/>
  <c r="U161" i="2"/>
  <c r="T162" i="2"/>
  <c r="U162" i="2"/>
  <c r="T163" i="2"/>
  <c r="U163" i="2"/>
  <c r="T164" i="2"/>
  <c r="U164" i="2"/>
  <c r="T165" i="2"/>
  <c r="U165" i="2"/>
  <c r="T166" i="2"/>
  <c r="U166" i="2"/>
  <c r="T167" i="2"/>
  <c r="U167" i="2"/>
  <c r="T168" i="2"/>
  <c r="U168" i="2"/>
  <c r="T169" i="2"/>
  <c r="U169" i="2"/>
  <c r="T170" i="2"/>
  <c r="U170" i="2"/>
  <c r="T171" i="2"/>
  <c r="U171" i="2"/>
  <c r="T172" i="2"/>
  <c r="U172" i="2"/>
  <c r="T173" i="2"/>
  <c r="U173" i="2"/>
  <c r="T174" i="2"/>
  <c r="U174" i="2"/>
  <c r="T175" i="2"/>
  <c r="U175" i="2"/>
  <c r="T176" i="2"/>
  <c r="U176" i="2"/>
  <c r="T184" i="2"/>
  <c r="U184" i="2"/>
  <c r="T185" i="2"/>
  <c r="U185" i="2"/>
  <c r="T186" i="2"/>
  <c r="U186" i="2"/>
  <c r="T187" i="2"/>
  <c r="U187" i="2"/>
  <c r="T188" i="2"/>
  <c r="U188" i="2"/>
  <c r="T189" i="2"/>
  <c r="U189" i="2"/>
  <c r="T190" i="2"/>
  <c r="U190" i="2"/>
  <c r="T191" i="2"/>
  <c r="U191" i="2"/>
  <c r="T192" i="2"/>
  <c r="U192" i="2"/>
  <c r="T193" i="2"/>
  <c r="U193" i="2"/>
  <c r="T194" i="2"/>
  <c r="U194" i="2"/>
  <c r="T195" i="2"/>
  <c r="U195" i="2"/>
  <c r="T196" i="2"/>
  <c r="U196" i="2"/>
  <c r="T197" i="2"/>
  <c r="U197" i="2"/>
  <c r="T198" i="2"/>
  <c r="U198" i="2"/>
  <c r="T199" i="2"/>
  <c r="U199" i="2"/>
  <c r="T200" i="2"/>
  <c r="U200" i="2"/>
  <c r="T201" i="2"/>
  <c r="U201" i="2"/>
  <c r="T202" i="2"/>
  <c r="U202" i="2"/>
  <c r="T203" i="2"/>
  <c r="U203" i="2"/>
  <c r="T204" i="2"/>
  <c r="U204" i="2"/>
  <c r="T205" i="2"/>
  <c r="U205" i="2"/>
  <c r="T206" i="2"/>
  <c r="U206" i="2"/>
  <c r="T207" i="2"/>
  <c r="U207" i="2"/>
  <c r="T208" i="2"/>
  <c r="U208" i="2"/>
  <c r="T209" i="2"/>
  <c r="U209" i="2"/>
  <c r="T210" i="2"/>
  <c r="U210" i="2"/>
  <c r="T211" i="2"/>
  <c r="U211" i="2"/>
  <c r="T212" i="2"/>
  <c r="U212" i="2"/>
  <c r="T213" i="2"/>
  <c r="U213" i="2"/>
  <c r="T214" i="2"/>
  <c r="U214" i="2"/>
  <c r="T215" i="2"/>
  <c r="U215" i="2"/>
  <c r="T216" i="2"/>
  <c r="U216" i="2"/>
  <c r="T217" i="2"/>
  <c r="U217" i="2"/>
  <c r="T218" i="2"/>
  <c r="U218" i="2"/>
  <c r="T219" i="2"/>
  <c r="U219" i="2"/>
  <c r="T220" i="2"/>
  <c r="U220" i="2"/>
  <c r="T221" i="2"/>
  <c r="U221" i="2"/>
  <c r="T222" i="2"/>
  <c r="U222" i="2"/>
  <c r="T223" i="2"/>
  <c r="U223" i="2"/>
  <c r="T224" i="2"/>
  <c r="U224" i="2"/>
  <c r="T225" i="2"/>
  <c r="U225" i="2"/>
  <c r="T226" i="2"/>
  <c r="U226" i="2"/>
  <c r="T227" i="2"/>
  <c r="U227" i="2"/>
  <c r="T228" i="2"/>
  <c r="U228" i="2"/>
  <c r="T229" i="2"/>
  <c r="U229" i="2"/>
  <c r="T238" i="2"/>
  <c r="U238" i="2"/>
  <c r="T239" i="2"/>
  <c r="U239" i="2"/>
  <c r="T240" i="2"/>
  <c r="U240" i="2"/>
  <c r="T241" i="2"/>
  <c r="U241" i="2"/>
  <c r="T242" i="2"/>
  <c r="U242" i="2"/>
  <c r="T243" i="2"/>
  <c r="U243" i="2"/>
  <c r="T245" i="2"/>
  <c r="U245" i="2"/>
  <c r="T246" i="2"/>
  <c r="U246" i="2"/>
  <c r="T247" i="2"/>
  <c r="U247" i="2"/>
  <c r="T248" i="2"/>
  <c r="U248" i="2"/>
  <c r="T249" i="2"/>
  <c r="U249" i="2"/>
  <c r="T250" i="2"/>
  <c r="U250" i="2"/>
  <c r="T251" i="2"/>
  <c r="U251" i="2"/>
  <c r="U18" i="2"/>
  <c r="U19" i="2"/>
  <c r="U20" i="2"/>
  <c r="U21" i="2"/>
  <c r="U22" i="2"/>
  <c r="U7" i="2"/>
  <c r="U8" i="2"/>
  <c r="U9" i="2"/>
  <c r="U10" i="2"/>
  <c r="U11" i="2"/>
  <c r="U12" i="2"/>
  <c r="U13" i="2"/>
  <c r="U14" i="2"/>
  <c r="U15" i="2"/>
  <c r="U16" i="2"/>
  <c r="U17" i="2"/>
  <c r="T7" i="2"/>
  <c r="T8" i="2"/>
  <c r="T9" i="2"/>
  <c r="T10" i="2"/>
  <c r="T11" i="2"/>
  <c r="T12" i="2"/>
  <c r="T13" i="2"/>
  <c r="T14" i="2"/>
  <c r="T15" i="2"/>
  <c r="T16" i="2"/>
  <c r="T17" i="2"/>
  <c r="T18" i="2"/>
  <c r="T19" i="2"/>
  <c r="T20" i="2"/>
  <c r="T21" i="2"/>
  <c r="T22" i="2"/>
  <c r="C94" i="3" l="1"/>
  <c r="C90" i="3"/>
  <c r="C85" i="3"/>
  <c r="C87" i="3"/>
  <c r="C88" i="3"/>
  <c r="C89" i="3"/>
  <c r="C91" i="3"/>
  <c r="C92" i="3"/>
  <c r="C86" i="3"/>
  <c r="C93" i="3"/>
  <c r="T178" i="2"/>
  <c r="U253" i="2"/>
  <c r="U231" i="2"/>
  <c r="U178" i="2"/>
  <c r="T253" i="2"/>
  <c r="T231" i="2"/>
  <c r="T143" i="2"/>
  <c r="U143" i="2"/>
  <c r="U85" i="2"/>
  <c r="T85" i="2"/>
  <c r="T37" i="2"/>
  <c r="U37" i="2"/>
  <c r="P7" i="3"/>
  <c r="P6" i="3"/>
  <c r="P8" i="3"/>
  <c r="O7" i="3"/>
  <c r="O6" i="3"/>
  <c r="O9" i="3"/>
  <c r="O8" i="3"/>
  <c r="P11" i="3"/>
  <c r="P10" i="3"/>
  <c r="P9" i="3"/>
  <c r="O11" i="3"/>
  <c r="O10" i="3"/>
  <c r="P238" i="2"/>
  <c r="Q238" i="2"/>
  <c r="P239" i="2"/>
  <c r="Q239" i="2"/>
  <c r="P240" i="2"/>
  <c r="Q240" i="2"/>
  <c r="P241" i="2"/>
  <c r="Q241" i="2"/>
  <c r="P242" i="2"/>
  <c r="Q242" i="2"/>
  <c r="P243" i="2"/>
  <c r="Q243" i="2"/>
  <c r="P245" i="2"/>
  <c r="Q245" i="2"/>
  <c r="P246" i="2"/>
  <c r="Q246" i="2"/>
  <c r="P247" i="2"/>
  <c r="Q247" i="2"/>
  <c r="P248" i="2"/>
  <c r="Q248" i="2"/>
  <c r="P249" i="2"/>
  <c r="Q249" i="2"/>
  <c r="P250" i="2"/>
  <c r="Q250" i="2"/>
  <c r="P251" i="2"/>
  <c r="Q251" i="2"/>
  <c r="P151" i="2"/>
  <c r="Q151" i="2"/>
  <c r="P152" i="2"/>
  <c r="Q152" i="2"/>
  <c r="P153" i="2"/>
  <c r="Q153" i="2"/>
  <c r="P154" i="2"/>
  <c r="Q154" i="2"/>
  <c r="P155" i="2"/>
  <c r="Q155" i="2"/>
  <c r="Q150" i="2"/>
  <c r="P150" i="2"/>
  <c r="P93" i="2"/>
  <c r="Q93" i="2"/>
  <c r="P94" i="2"/>
  <c r="Q94" i="2"/>
  <c r="P95" i="2"/>
  <c r="Q95" i="2"/>
  <c r="P96" i="2"/>
  <c r="Q96" i="2"/>
  <c r="P97" i="2"/>
  <c r="Q97" i="2"/>
  <c r="P98" i="2"/>
  <c r="Q98" i="2"/>
  <c r="P100" i="2"/>
  <c r="Q100" i="2"/>
  <c r="P101" i="2"/>
  <c r="Q101" i="2"/>
  <c r="P102" i="2"/>
  <c r="Q102" i="2"/>
  <c r="P103" i="2"/>
  <c r="Q103" i="2"/>
  <c r="P104" i="2"/>
  <c r="Q104" i="2"/>
  <c r="P105" i="2"/>
  <c r="Q105" i="2"/>
  <c r="Q92" i="2"/>
  <c r="P92" i="2"/>
  <c r="Q45" i="2"/>
  <c r="Q46" i="2"/>
  <c r="Q47" i="2"/>
  <c r="Q48" i="2"/>
  <c r="Q49" i="2"/>
  <c r="Q50" i="2"/>
  <c r="P49" i="2"/>
  <c r="P50" i="2"/>
  <c r="P45" i="2"/>
  <c r="P46" i="2"/>
  <c r="P47" i="2"/>
  <c r="P48" i="2"/>
  <c r="Q8" i="2"/>
  <c r="Q9" i="2"/>
  <c r="Q10" i="2"/>
  <c r="Q11" i="2"/>
  <c r="Q12" i="2"/>
  <c r="Q13" i="2"/>
  <c r="Q14" i="2"/>
  <c r="Q15" i="2"/>
  <c r="Q16" i="2"/>
  <c r="Q17" i="2"/>
  <c r="Q7" i="2"/>
  <c r="P8" i="2"/>
  <c r="P9" i="2"/>
  <c r="P10" i="2"/>
  <c r="P11" i="2"/>
  <c r="P12" i="2"/>
  <c r="P13" i="2"/>
  <c r="P14" i="2"/>
  <c r="P15" i="2"/>
  <c r="P16" i="2"/>
  <c r="P17" i="2"/>
  <c r="P7" i="2"/>
  <c r="G10" i="3"/>
  <c r="G9" i="3"/>
  <c r="G8" i="3"/>
  <c r="G7" i="3"/>
  <c r="G6" i="3"/>
  <c r="P12" i="3" l="1"/>
  <c r="O12" i="3"/>
  <c r="O13" i="3" s="1"/>
  <c r="G12" i="3"/>
  <c r="AI7" i="3"/>
  <c r="C77" i="3"/>
  <c r="D77" i="3" s="1"/>
  <c r="AI11" i="3"/>
  <c r="C81" i="3"/>
  <c r="D81" i="3" s="1"/>
  <c r="AI9" i="3"/>
  <c r="C79" i="3"/>
  <c r="D79" i="3" s="1"/>
  <c r="AI10" i="3"/>
  <c r="C80" i="3"/>
  <c r="D80" i="3" s="1"/>
  <c r="AI8" i="3"/>
  <c r="C78" i="3"/>
  <c r="D78" i="3" s="1"/>
  <c r="AI6" i="3"/>
  <c r="C76" i="3"/>
  <c r="D76" i="3" s="1"/>
  <c r="Q7" i="3"/>
  <c r="Q253" i="2"/>
  <c r="P253" i="2"/>
  <c r="Q8" i="3"/>
  <c r="P178" i="2"/>
  <c r="Q178" i="2"/>
  <c r="P143" i="2"/>
  <c r="P37" i="2"/>
  <c r="Q143" i="2"/>
  <c r="P85" i="2"/>
  <c r="Q85" i="2"/>
  <c r="Q37" i="2"/>
  <c r="K8" i="3"/>
  <c r="K18" i="3" s="1"/>
  <c r="L11" i="3"/>
  <c r="L21" i="3" s="1"/>
  <c r="L8" i="3"/>
  <c r="L18" i="3" s="1"/>
  <c r="K11" i="3"/>
  <c r="K21" i="3" s="1"/>
  <c r="K10" i="3"/>
  <c r="K20" i="3" s="1"/>
  <c r="K7" i="3"/>
  <c r="K17" i="3" s="1"/>
  <c r="L6" i="3"/>
  <c r="L16" i="3" s="1"/>
  <c r="K9" i="3"/>
  <c r="K19" i="3" s="1"/>
  <c r="L10" i="3"/>
  <c r="L20" i="3" s="1"/>
  <c r="K6" i="3"/>
  <c r="K16" i="3" s="1"/>
  <c r="L7" i="3"/>
  <c r="L17" i="3" s="1"/>
  <c r="L9" i="3"/>
  <c r="L19" i="3" s="1"/>
  <c r="Q11" i="3"/>
  <c r="Q10" i="3"/>
  <c r="Q9" i="3"/>
  <c r="Q6" i="3"/>
  <c r="Q12" i="3" l="1"/>
  <c r="L12" i="3"/>
  <c r="L13" i="3" s="1"/>
  <c r="K12" i="3"/>
  <c r="K13" i="3" s="1"/>
  <c r="AI12" i="3"/>
  <c r="D93" i="3" s="1"/>
  <c r="D94" i="3" l="1"/>
  <c r="G94" i="3" s="1"/>
  <c r="G93" i="3"/>
  <c r="E85" i="3" l="1"/>
  <c r="E89" i="3"/>
  <c r="E91" i="3"/>
  <c r="E90" i="3"/>
  <c r="E93" i="3"/>
  <c r="E92" i="3"/>
  <c r="E86" i="3"/>
  <c r="E88" i="3"/>
  <c r="E87" i="3"/>
  <c r="E94" i="3"/>
</calcChain>
</file>

<file path=xl/sharedStrings.xml><?xml version="1.0" encoding="utf-8"?>
<sst xmlns="http://schemas.openxmlformats.org/spreadsheetml/2006/main" count="2194" uniqueCount="917">
  <si>
    <t>Sector</t>
  </si>
  <si>
    <t>Investment</t>
  </si>
  <si>
    <t>Page</t>
  </si>
  <si>
    <t>Comments</t>
  </si>
  <si>
    <t>Timescales</t>
  </si>
  <si>
    <t>Green Finance Taskforce</t>
  </si>
  <si>
    <t>Finance</t>
  </si>
  <si>
    <t>Policy / proposal</t>
  </si>
  <si>
    <t>Type of policy / proposal</t>
  </si>
  <si>
    <t>Details</t>
  </si>
  <si>
    <t>Established Sept 2017</t>
  </si>
  <si>
    <t>-</t>
  </si>
  <si>
    <t>Senior representatives from finance industry and government to develop ambitious policy proposels to further accelerate private sector investment</t>
  </si>
  <si>
    <t>Recommendations published in June 2017</t>
  </si>
  <si>
    <t>?</t>
  </si>
  <si>
    <t>Standard</t>
  </si>
  <si>
    <t>Indirect</t>
  </si>
  <si>
    <t>Up to £20 million</t>
  </si>
  <si>
    <t>New investment to support clean technology early stage funding</t>
  </si>
  <si>
    <t>Information</t>
  </si>
  <si>
    <t>Online platform to showcase UK businesses which have received innovation support from Government</t>
  </si>
  <si>
    <t>Make information easily accessible for early stage investors to increase investment flow into innovative businesses</t>
  </si>
  <si>
    <t>Develop green mortgage products</t>
  </si>
  <si>
    <t>Financing</t>
  </si>
  <si>
    <t>Take account of the lower lending risk associated with more efficient properties and reduced outgoings</t>
  </si>
  <si>
    <t>See report from EAC on Green Financing</t>
  </si>
  <si>
    <t>BEIS Energy Innovation Programme</t>
  </si>
  <si>
    <t>Accelerate commercialisation of innovative clean energy technologies and processes</t>
  </si>
  <si>
    <t xml:space="preserve">UK Research and Innovation </t>
  </si>
  <si>
    <t>Up to £1.2 billion</t>
  </si>
  <si>
    <t>Up to £505 million</t>
  </si>
  <si>
    <t>Transport</t>
  </si>
  <si>
    <t>Design, development and manufacture of electric batteries</t>
  </si>
  <si>
    <t>Up to £246 million</t>
  </si>
  <si>
    <t>Range of departments: BEIS, DfT, DflD, Defra</t>
  </si>
  <si>
    <t>Up to £620 million</t>
  </si>
  <si>
    <t>Industry-academia collaboration</t>
  </si>
  <si>
    <t>Collaboration</t>
  </si>
  <si>
    <t>E.g. Agri-tech catalyst</t>
  </si>
  <si>
    <t>Agriculture/All?</t>
  </si>
  <si>
    <t>Research and development funding for disruptive technologies</t>
  </si>
  <si>
    <t>Disruptive technologies</t>
  </si>
  <si>
    <t>Announced Nov 17</t>
  </si>
  <si>
    <t>£4.7 billion</t>
  </si>
  <si>
    <t>Including low carbon technologies</t>
  </si>
  <si>
    <t>Support development and demonstration of innovative energy technologies and processes, particular focus on SMEs</t>
  </si>
  <si>
    <t>Energy</t>
  </si>
  <si>
    <t>Energy technologies</t>
  </si>
  <si>
    <t>6th round (Running since 2012)</t>
  </si>
  <si>
    <t>Up to £10 million (+£4 million for fifth round)</t>
  </si>
  <si>
    <t>See breakdown on page 50</t>
  </si>
  <si>
    <r>
      <t xml:space="preserve">Faraday Challenge </t>
    </r>
    <r>
      <rPr>
        <sz val="11"/>
        <color rgb="FF00B0F0"/>
        <rFont val="Calibri"/>
        <family val="2"/>
        <scheme val="minor"/>
      </rPr>
      <t>(from disruptive technology funding)</t>
    </r>
  </si>
  <si>
    <r>
      <t xml:space="preserve">Energy Entrepeneurs Fund </t>
    </r>
    <r>
      <rPr>
        <sz val="11"/>
        <color rgb="FF00B0F0"/>
        <rFont val="Calibri"/>
        <family val="2"/>
        <scheme val="minor"/>
      </rPr>
      <t>(from BEIS programme)</t>
    </r>
  </si>
  <si>
    <t>Funding for Energy Systems Catapult and Offshore Renewable Energy Catapult</t>
  </si>
  <si>
    <t>Range of departments + Industrial Strategy Challenge Fund (ISCF)</t>
  </si>
  <si>
    <t>Ofgem regulated expenditure</t>
  </si>
  <si>
    <t>Network infrastructure</t>
  </si>
  <si>
    <t>For gas and electricity network companies, to support smarter, more flexible, efficient and resilient networks</t>
  </si>
  <si>
    <t>Up to £720 million</t>
  </si>
  <si>
    <t>Energy Innovation Board</t>
  </si>
  <si>
    <t>Launched 2016</t>
  </si>
  <si>
    <t>Reps from Government, Innovate UK, Research Councils and Ofgem, to align public investments in low carbon innovation</t>
  </si>
  <si>
    <r>
      <t xml:space="preserve">Endorsing recommendations by </t>
    </r>
    <r>
      <rPr>
        <b/>
        <sz val="11"/>
        <color theme="9" tint="-0.249977111117893"/>
        <rFont val="Calibri"/>
        <family val="2"/>
        <scheme val="minor"/>
      </rPr>
      <t>FSB's Task Force</t>
    </r>
    <r>
      <rPr>
        <sz val="11"/>
        <color theme="1"/>
        <rFont val="Calibri"/>
        <family val="2"/>
        <scheme val="minor"/>
      </rPr>
      <t xml:space="preserve"> on Climate-related Financial Disclosures and encouraging PLCs to implement recommendations</t>
    </r>
  </si>
  <si>
    <r>
      <t xml:space="preserve">Working with </t>
    </r>
    <r>
      <rPr>
        <b/>
        <sz val="11"/>
        <color theme="9" tint="-0.249977111117893"/>
        <rFont val="Calibri"/>
        <family val="2"/>
        <scheme val="minor"/>
      </rPr>
      <t>BSI</t>
    </r>
    <r>
      <rPr>
        <sz val="11"/>
        <color theme="1"/>
        <rFont val="Calibri"/>
        <family val="2"/>
        <scheme val="minor"/>
      </rPr>
      <t xml:space="preserve"> on voluntary green and sustainable finance management standards</t>
    </r>
  </si>
  <si>
    <t>Coordination / Advise</t>
  </si>
  <si>
    <t>Advise</t>
  </si>
  <si>
    <t>Energy demand focus</t>
  </si>
  <si>
    <t>N</t>
  </si>
  <si>
    <t>(Y)</t>
  </si>
  <si>
    <t>£8.6 million</t>
  </si>
  <si>
    <t>Removal technologies</t>
  </si>
  <si>
    <t>R&amp;D programme</t>
  </si>
  <si>
    <t>D&amp;I programme</t>
  </si>
  <si>
    <t>Innovation programme</t>
  </si>
  <si>
    <t>R,D&amp;I programme</t>
  </si>
  <si>
    <t xml:space="preserve">RCs GGR research programme </t>
  </si>
  <si>
    <t>Launched April 2017</t>
  </si>
  <si>
    <t>Research looking at all GGR technologies</t>
  </si>
  <si>
    <t>Report on sustainable biomass resources</t>
  </si>
  <si>
    <t>Report on UK resources</t>
  </si>
  <si>
    <t xml:space="preserve">Clean Growth Inter-Ministerial Group </t>
  </si>
  <si>
    <t>Responsible for monitoring implementation of CGS and driving ambitious CG policies</t>
  </si>
  <si>
    <t>All</t>
  </si>
  <si>
    <t>Advise / Coordination</t>
  </si>
  <si>
    <t>Y</t>
  </si>
  <si>
    <t>Number</t>
  </si>
  <si>
    <t>How?</t>
  </si>
  <si>
    <t>Details?</t>
  </si>
  <si>
    <t>3a</t>
  </si>
  <si>
    <t>Following the 2018-19 compliance year</t>
  </si>
  <si>
    <t>3b</t>
  </si>
  <si>
    <t>Previously announced, implement from 2019</t>
  </si>
  <si>
    <t>Currently consulting</t>
  </si>
  <si>
    <t>Reporting framework</t>
  </si>
  <si>
    <t>£18 million</t>
  </si>
  <si>
    <t>Industry and Business</t>
  </si>
  <si>
    <r>
      <t xml:space="preserve">Develop a </t>
    </r>
    <r>
      <rPr>
        <b/>
        <sz val="11"/>
        <color theme="1"/>
        <rFont val="Calibri"/>
        <family val="2"/>
        <scheme val="minor"/>
      </rPr>
      <t>package of measures</t>
    </r>
    <r>
      <rPr>
        <sz val="11"/>
        <color theme="1"/>
        <rFont val="Calibri"/>
        <family val="2"/>
        <scheme val="minor"/>
      </rPr>
      <t xml:space="preserve"> to support businesses to improve how productively they use energy</t>
    </r>
  </si>
  <si>
    <t>Close scheme</t>
  </si>
  <si>
    <t>Change scheme</t>
  </si>
  <si>
    <t>Establish scheme</t>
  </si>
  <si>
    <t>Commissioned, report in Spring 2018</t>
  </si>
  <si>
    <t>11a</t>
  </si>
  <si>
    <t>11b</t>
  </si>
  <si>
    <t>Regulation</t>
  </si>
  <si>
    <t>Market improvements</t>
  </si>
  <si>
    <t>Improve the market for energy services, building confidence across commercial and industrial customers</t>
  </si>
  <si>
    <t>Improve the energy performance of private rented buildings through tighter minimum energy standards</t>
  </si>
  <si>
    <t>Standards</t>
  </si>
  <si>
    <t>Consultation in 2018</t>
  </si>
  <si>
    <t>Improve the provision of information and advice to SMEs to encourage the uptake of energy efficiency technologies</t>
  </si>
  <si>
    <t>? Explore with stakeholders</t>
  </si>
  <si>
    <t>Phase out during the 2020s, starting with new buildings</t>
  </si>
  <si>
    <t>Joint industrial decarbonisation and energy efficiency action plans with seven of the most energy intensive industrial sectors</t>
  </si>
  <si>
    <t>Action plan</t>
  </si>
  <si>
    <t>15b</t>
  </si>
  <si>
    <t>15a</t>
  </si>
  <si>
    <t>Sharing of best practice and innovation opportunities, including  through a new online portal,  facilitating dialogue to improve access to finance and cross-sector considerations</t>
  </si>
  <si>
    <t>Knowledge sharing</t>
  </si>
  <si>
    <t>Accesible?</t>
  </si>
  <si>
    <t>Commitment to carbon pricing</t>
  </si>
  <si>
    <t>Financial measure</t>
  </si>
  <si>
    <t>Framework to support the long term low carbon development of  energy intensive industrial processes, such as CCUS and electrification</t>
  </si>
  <si>
    <t>Funding</t>
  </si>
  <si>
    <t>£9.2 million</t>
  </si>
  <si>
    <t>Stimulate innovation in advanced materials through Industrial Strategy sector deals and Industrial Strategy Challenge Fund</t>
  </si>
  <si>
    <t>Encourage more resource efficient business models</t>
  </si>
  <si>
    <t>Business models</t>
  </si>
  <si>
    <t>Extend product life</t>
  </si>
  <si>
    <t>Reduce waste volumes</t>
  </si>
  <si>
    <t>CCS investment</t>
  </si>
  <si>
    <t>Various</t>
  </si>
  <si>
    <t>£100 million</t>
  </si>
  <si>
    <t>Improving Homes</t>
  </si>
  <si>
    <t>Ensure incentives for investment in energy efficiency are regularly reviewed,  for  instance  the  list  of  products  that qualify for enhanced capital allowances tax relief</t>
  </si>
  <si>
    <t>Implement review process</t>
  </si>
  <si>
    <t>? - Work with stakeholders</t>
  </si>
  <si>
    <t>Explore how voluntary building standards can support future improvements in business building performance</t>
  </si>
  <si>
    <t>Funding for retrofit</t>
  </si>
  <si>
    <t>£3.6 billion</t>
  </si>
  <si>
    <t>Extend support out to 2028</t>
  </si>
  <si>
    <t>1a</t>
  </si>
  <si>
    <t>1b</t>
  </si>
  <si>
    <t>Review</t>
  </si>
  <si>
    <t>Review best form of support beyond 2022</t>
  </si>
  <si>
    <t>Minimum EPC E for privately let properties</t>
  </si>
  <si>
    <t>Legislated from April 2018, consult to make more effective</t>
  </si>
  <si>
    <t>Regulation: Minimum standard</t>
  </si>
  <si>
    <t>Considering options, consult in 2018</t>
  </si>
  <si>
    <t>All fuel poor homes EPC C by 2030</t>
  </si>
  <si>
    <t>4a</t>
  </si>
  <si>
    <t>4b</t>
  </si>
  <si>
    <t>As many homes as possible EPC C by 2035 where practical, cost-effective and affordable</t>
  </si>
  <si>
    <t>Define long term trajectory for private rented sector, aim to have as many homes as possible EPC C by 2030 where practical, cost-effective and affordable</t>
  </si>
  <si>
    <t>Define long term trajectory for social housing sector, aim to have as many homes as possible EPC C by 2030 where practical, cost-effective and affordable, taking account of Grenfell Tower fire and wider social housing policy issues</t>
  </si>
  <si>
    <t xml:space="preserve">Information/Advice </t>
  </si>
  <si>
    <t>Spring 2018</t>
  </si>
  <si>
    <r>
      <t xml:space="preserve">Replace telephone-only Energy Saving Advice Service with digitally-led service, working closely with </t>
    </r>
    <r>
      <rPr>
        <i/>
        <sz val="11"/>
        <color theme="1"/>
        <rFont val="Calibri"/>
        <family val="2"/>
        <scheme val="minor"/>
      </rPr>
      <t xml:space="preserve">Each Home Counts </t>
    </r>
    <r>
      <rPr>
        <sz val="11"/>
        <color theme="1"/>
        <rFont val="Calibri"/>
        <family val="2"/>
        <scheme val="minor"/>
      </rPr>
      <t>implementation</t>
    </r>
  </si>
  <si>
    <t>Overlap</t>
  </si>
  <si>
    <t>Regulation improvement</t>
  </si>
  <si>
    <t>Subject to review conclusions (spring 2018)</t>
  </si>
  <si>
    <t>Look at action on compliance and enforcement of Buildings regulations related to energy performance</t>
  </si>
  <si>
    <t>Explore innovative solutions, such as measuring building performance with smart meters, develop 'quality mark' with industry</t>
  </si>
  <si>
    <t>Regulation improvements</t>
  </si>
  <si>
    <t>I&amp;B 11b, 8</t>
  </si>
  <si>
    <t>12a</t>
  </si>
  <si>
    <t xml:space="preserve">Smart meter roll-out: Every home offered smart meter by 2020 </t>
  </si>
  <si>
    <t>12b</t>
  </si>
  <si>
    <t>Work with suppliers to ensure people are provided with tailored advice</t>
  </si>
  <si>
    <t>12c</t>
  </si>
  <si>
    <t>Trial provision of regular information about energy use to encourage savings</t>
  </si>
  <si>
    <t>12d</t>
  </si>
  <si>
    <t>Explore how available data can be used with customers' consent for personalised rocommendations, targeted policy interventions and business saving offers</t>
  </si>
  <si>
    <t>Regulation?</t>
  </si>
  <si>
    <t>Data use</t>
  </si>
  <si>
    <t>By 2020</t>
  </si>
  <si>
    <t>Since April 2018</t>
  </si>
  <si>
    <t>Cleaner Heating Systems</t>
  </si>
  <si>
    <t>£4.5 billion</t>
  </si>
  <si>
    <t>14a</t>
  </si>
  <si>
    <t>14b</t>
  </si>
  <si>
    <t>Scheme reform</t>
  </si>
  <si>
    <t>During 2020s</t>
  </si>
  <si>
    <t>Range of policy options</t>
  </si>
  <si>
    <t>Innovation challenge fund for to support low carbon heating systems</t>
  </si>
  <si>
    <t>£10 million</t>
  </si>
  <si>
    <t>15c</t>
  </si>
  <si>
    <t>£200 million (part)</t>
  </si>
  <si>
    <t>Explore use of £200 million package of Growth Programme and Countryside Productivity offers to support renewable energy projects in rural areas</t>
  </si>
  <si>
    <t>16a</t>
  </si>
  <si>
    <t>16b</t>
  </si>
  <si>
    <t>Explore measures to create an effective long-term market framework for sector beyond 2020</t>
  </si>
  <si>
    <t>Out to 2021</t>
  </si>
  <si>
    <t>Partly</t>
  </si>
  <si>
    <t>£184 million</t>
  </si>
  <si>
    <t>Grant fund for the innovation of new insulation materials, installation methods and business models for existing buildings</t>
  </si>
  <si>
    <t>Grant fund for making low carbon heating technologies more affordable, better performing and attractive to consumer</t>
  </si>
  <si>
    <t>Ensure that existing regulation does not impede development of new low cost energy efficiency technologies</t>
  </si>
  <si>
    <t>Part of call for evidence on additional measures for energy improvements</t>
  </si>
  <si>
    <t>Research addressing the drivers, barriers and challenges of new low carbon homes</t>
  </si>
  <si>
    <t>£1.4 million</t>
  </si>
  <si>
    <t>Currently tendering (at CGS publication)</t>
  </si>
  <si>
    <t>£19 million</t>
  </si>
  <si>
    <t>Planning to invest</t>
  </si>
  <si>
    <t>Research on behavioural change: how people's energy choices can help stop wasting energy</t>
  </si>
  <si>
    <t>Research on hydrogen as an anlternative to natural gas, including looking at regulatory standards and development of appliances</t>
  </si>
  <si>
    <t>£25 million</t>
  </si>
  <si>
    <t>Explore policy instruments: how to make it easier for innovative approaches or products to be installed under consumer-facing schemes, such as ECO</t>
  </si>
  <si>
    <t>Ofgem funding for gas network companies to develop and demonstrate new technologies &amp; new operating and commercial agreements</t>
  </si>
  <si>
    <t>Up to £195 million</t>
  </si>
  <si>
    <t>Investment in smart ways of developing heating service through Energy Systems Catapult</t>
  </si>
  <si>
    <t>Publish review of evidence on long term heat decarbonisation</t>
  </si>
  <si>
    <t>By summer 2018</t>
  </si>
  <si>
    <t>Low Carbon Transport</t>
  </si>
  <si>
    <t>End to sale of all new conventional petrol and diesel cars and vans by 2040</t>
  </si>
  <si>
    <t>Announced</t>
  </si>
  <si>
    <t>£1 billion</t>
  </si>
  <si>
    <t>2,3</t>
  </si>
  <si>
    <t>Investment for ULEV uptake through schemes that build on experience in delivering intiatives</t>
  </si>
  <si>
    <t>Strategy to create EV charging network using regulation, funding and private investment</t>
  </si>
  <si>
    <t>Range of measures</t>
  </si>
  <si>
    <t>£80 million + £15 million from Highway England</t>
  </si>
  <si>
    <t>Investment in charging infrastructure development - rapid charge points every 20 miles across 95% of road network</t>
  </si>
  <si>
    <t>4c</t>
  </si>
  <si>
    <t>4d</t>
  </si>
  <si>
    <t>Bill currently at report stage</t>
  </si>
  <si>
    <t>Consider role of regulation to accelerate provision of ULEV infrastructure</t>
  </si>
  <si>
    <t>Investment in hydrogen fuel cell cars and vans and network through Hydrogen for Transport Advancement Programme, Fuel Cell Electric Vehicle Fleet Support Scheme and new scheme to boost infrastructure and roll-out</t>
  </si>
  <si>
    <t>£4.8 million HTAP + £2 million FCEVFSS + £23 million new scheme</t>
  </si>
  <si>
    <t>Ambitious uptake requirement for zero emission vehicles for central government</t>
  </si>
  <si>
    <t>6a</t>
  </si>
  <si>
    <t>6b</t>
  </si>
  <si>
    <t>Plug-in Taxi programme, reduced purchase price for ULEV taxis</t>
  </si>
  <si>
    <t>7a</t>
  </si>
  <si>
    <t>7b</t>
  </si>
  <si>
    <t>Support for ten local areas to deliver dedicated charge points for taxis</t>
  </si>
  <si>
    <t>£50 million</t>
  </si>
  <si>
    <t>£14 million</t>
  </si>
  <si>
    <t>7c</t>
  </si>
  <si>
    <t>Recommendation / Regulation</t>
  </si>
  <si>
    <t>At least 2020</t>
  </si>
  <si>
    <t>By March 2018</t>
  </si>
  <si>
    <t>Sector Deal</t>
  </si>
  <si>
    <t>Regulation (?)</t>
  </si>
  <si>
    <t>Requirements for provision of EV charge points or hydrogen refuelling at service stations etc, convenient acess and work seamlessly, smart enabled (to enable off-peak charging)</t>
  </si>
  <si>
    <t>New Buying Standards in central government to encourage procurers to choose cleanest, low emission vehicles</t>
  </si>
  <si>
    <t>Plug-in grants worth up to £20,000 for the first 200 low emission vans and HGVs (3.5-44t)</t>
  </si>
  <si>
    <t>Change license standards</t>
  </si>
  <si>
    <t>Proposal to allow car license holders to drive slightly heavier vans if powered by low emission technology - offsetting additional powertrain weight</t>
  </si>
  <si>
    <t>Advise HGV fleet operators on reducing fuel consumption</t>
  </si>
  <si>
    <t>13a</t>
  </si>
  <si>
    <t>13b</t>
  </si>
  <si>
    <t>Information / Advice</t>
  </si>
  <si>
    <t>Shift more freight from road to rail, including low emission rail freight for deliveries into urban areas, with zero emission last mile deliveries</t>
  </si>
  <si>
    <t>Invest in public transport network to help people to cycle, walk or travel by bus or train</t>
  </si>
  <si>
    <t>£1.2 billion</t>
  </si>
  <si>
    <t>2016-21</t>
  </si>
  <si>
    <t>18a</t>
  </si>
  <si>
    <t>Seek more use of electric, bi-mode (electric + diesel hybrid) and alternative fuel traction on the railway</t>
  </si>
  <si>
    <t>18b</t>
  </si>
  <si>
    <t xml:space="preserve">Invest in route electrification where beneficial to passengers </t>
  </si>
  <si>
    <t>18c</t>
  </si>
  <si>
    <t>Ongoing</t>
  </si>
  <si>
    <t>Continue</t>
  </si>
  <si>
    <t>Promote and support efficient driving behaviours amongst fleet and private drivers, close working with other programmes to improve driver standards</t>
  </si>
  <si>
    <t>Promote sustainable alternative fuels by setting targets to support development of advanced fuels suitable for HGVs and aviation</t>
  </si>
  <si>
    <t>Targets</t>
  </si>
  <si>
    <t>Recently launched</t>
  </si>
  <si>
    <t>£22 million</t>
  </si>
  <si>
    <t>Strategy</t>
  </si>
  <si>
    <t>24a</t>
  </si>
  <si>
    <t>24b</t>
  </si>
  <si>
    <t>£3.9 billion</t>
  </si>
  <si>
    <t>Included</t>
  </si>
  <si>
    <t>Work with industry to develop improved fuel efficiency technologies, including new propulsion systems, hull design and aerodynamic structures</t>
  </si>
  <si>
    <t>26a</t>
  </si>
  <si>
    <t>Work with ship owners and ports to identify barriers in supplying sustainable alternative fuels and cleaner emissions technologies</t>
  </si>
  <si>
    <t>Operational improvements expected, including better use of ship capacity</t>
  </si>
  <si>
    <t>£841 million</t>
  </si>
  <si>
    <t>Over four years</t>
  </si>
  <si>
    <t>Investment in electric vehicle and battery technology through Industrial Strategy Challenge Fund (ISCF) as part of the Faraday Challenge</t>
  </si>
  <si>
    <t>Development and commercialisation of automotive battery packs</t>
  </si>
  <si>
    <t>£246 million</t>
  </si>
  <si>
    <t>At least £70 million</t>
  </si>
  <si>
    <t>Over next five years</t>
  </si>
  <si>
    <t>Innovation in energy storage, DSM and other smart energy technologies, including vehicle-to-grid products and services - focus on how to provide network flexibility and system balancing</t>
  </si>
  <si>
    <t>£40 million</t>
  </si>
  <si>
    <t>Development of advanced low carbon fuels derived from wastes or industrial and agricultural by-products</t>
  </si>
  <si>
    <t>Winners announced in Jan 2017</t>
  </si>
  <si>
    <t>£20 million</t>
  </si>
  <si>
    <t>HGV platooning trials with joint funding from Highways England to assess feasibility, costs and benefits</t>
  </si>
  <si>
    <t>Center established</t>
  </si>
  <si>
    <t>£250 million</t>
  </si>
  <si>
    <t>Funding (new center)</t>
  </si>
  <si>
    <t>Progress?</t>
  </si>
  <si>
    <t>Additional measures to support pathway to low emission freight</t>
  </si>
  <si>
    <t>Industry is developing trains powered by alternative fuels, for example using battery and hydrogen power</t>
  </si>
  <si>
    <r>
      <rPr>
        <b/>
        <sz val="11"/>
        <color theme="1"/>
        <rFont val="Calibri"/>
        <family val="2"/>
        <scheme val="minor"/>
      </rPr>
      <t>Overall:</t>
    </r>
    <r>
      <rPr>
        <sz val="11"/>
        <color theme="1"/>
        <rFont val="Calibri"/>
        <family val="2"/>
        <scheme val="minor"/>
      </rPr>
      <t xml:space="preserve"> Programmes run by DfT, OLEV, Research Councils, Innovate UK and BEIS</t>
    </r>
  </si>
  <si>
    <r>
      <rPr>
        <b/>
        <sz val="11"/>
        <color theme="1"/>
        <rFont val="Calibri"/>
        <family val="2"/>
        <scheme val="minor"/>
      </rPr>
      <t>Overall:</t>
    </r>
    <r>
      <rPr>
        <sz val="11"/>
        <color theme="1"/>
        <rFont val="Calibri"/>
        <family val="2"/>
        <scheme val="minor"/>
      </rPr>
      <t xml:space="preserve"> Investment in research, development and deployment of innovative energy efficiency and heating technologies and the gas network</t>
    </r>
  </si>
  <si>
    <r>
      <rPr>
        <b/>
        <sz val="11"/>
        <color theme="1"/>
        <rFont val="Calibri"/>
        <family val="2"/>
        <scheme val="minor"/>
      </rPr>
      <t xml:space="preserve">Overall: </t>
    </r>
    <r>
      <rPr>
        <sz val="11"/>
        <color theme="1"/>
        <rFont val="Calibri"/>
        <family val="2"/>
        <scheme val="minor"/>
      </rPr>
      <t>Innovation funding in research, development and demonstration of energy, resource and process efficiency alongside better low carbon fuels and CUS</t>
    </r>
  </si>
  <si>
    <t>£162 million</t>
  </si>
  <si>
    <t xml:space="preserve">Research Councils investment in energy efficiency </t>
  </si>
  <si>
    <t>Clean, Smart and Flexible Power</t>
  </si>
  <si>
    <t>80% emission reduction by 2032</t>
  </si>
  <si>
    <t>Phase out unabated coal generation</t>
  </si>
  <si>
    <t>Update?</t>
  </si>
  <si>
    <t>New nuclear capacity: Hinkley Point C</t>
  </si>
  <si>
    <t>Sector deal</t>
  </si>
  <si>
    <t>Sector Deal for offshore wind + further opportunities</t>
  </si>
  <si>
    <t>Commitment to carbon pricing for the 2020s</t>
  </si>
  <si>
    <t>P6</t>
  </si>
  <si>
    <t>H11b</t>
  </si>
  <si>
    <t>Smart meter rollout: Every household offered smart meter by 2020</t>
  </si>
  <si>
    <t>I16</t>
  </si>
  <si>
    <t>Network reform</t>
  </si>
  <si>
    <t>Work with Ofgem to ensure regulatory and market arrangements evolve for development of a clean, smart and flexible energy system</t>
  </si>
  <si>
    <t>Regulation and market reform</t>
  </si>
  <si>
    <t>Ensure private investment in new electricity connectors to help integrate clean generation. Potential for at least 9.5 GW in addition to 4 GW today and 4.4 GW under construction</t>
  </si>
  <si>
    <t>By early to mid-2020s</t>
  </si>
  <si>
    <t>Upgrading and operation of electricty distribution network, capatalise on smart integration</t>
  </si>
  <si>
    <t>2015-23</t>
  </si>
  <si>
    <t>£26 million</t>
  </si>
  <si>
    <t>Keep tax treatments for technologies such as solar under review</t>
  </si>
  <si>
    <t>Tax review</t>
  </si>
  <si>
    <r>
      <t xml:space="preserve">Implement 29 actions from </t>
    </r>
    <r>
      <rPr>
        <i/>
        <sz val="11"/>
        <color theme="1"/>
        <rFont val="Calibri"/>
        <family val="2"/>
        <scheme val="minor"/>
      </rPr>
      <t>Smart Systems and Flexibility Plan</t>
    </r>
    <r>
      <rPr>
        <sz val="11"/>
        <color theme="1"/>
        <rFont val="Calibri"/>
        <family val="2"/>
        <scheme val="minor"/>
      </rPr>
      <t>, enabling technologies such as energy storage and DSM to compete in energy market, integrate low carbon generation and deliver secure, smart appliances and tariffs</t>
    </r>
  </si>
  <si>
    <t>Inform policy making</t>
  </si>
  <si>
    <t>Review published Oct 2017</t>
  </si>
  <si>
    <r>
      <t xml:space="preserve">Incorporate recommendations from </t>
    </r>
    <r>
      <rPr>
        <i/>
        <sz val="11"/>
        <color theme="1"/>
        <rFont val="Calibri"/>
        <family val="2"/>
        <scheme val="minor"/>
      </rPr>
      <t xml:space="preserve">Review into the Cost of Energy </t>
    </r>
    <r>
      <rPr>
        <sz val="11"/>
        <color theme="1"/>
        <rFont val="Calibri"/>
        <family val="2"/>
        <scheme val="minor"/>
      </rPr>
      <t xml:space="preserve">(Dieter Helm CBE) into further policy development </t>
    </r>
  </si>
  <si>
    <t>Require Ofgem to impose a cap on standard variable and default tariffs across the whole market</t>
  </si>
  <si>
    <t>Proposal for legislation</t>
  </si>
  <si>
    <t>Ofgem consultation until June 2018</t>
  </si>
  <si>
    <t>New framework</t>
  </si>
  <si>
    <t>Evaluation of Electricity Demand Reduction Pilot projects on reducing bills and improving supply security through energy savings at peak time</t>
  </si>
  <si>
    <t>£5.4 million</t>
  </si>
  <si>
    <t>Currently evaluating results</t>
  </si>
  <si>
    <r>
      <t>Overall:</t>
    </r>
    <r>
      <rPr>
        <sz val="11"/>
        <color theme="1"/>
        <rFont val="Calibri"/>
        <family val="2"/>
        <scheme val="minor"/>
      </rPr>
      <t xml:space="preserve"> Research and innovation in the power sector</t>
    </r>
  </si>
  <si>
    <t>(Partly)</t>
  </si>
  <si>
    <t>£900 million</t>
  </si>
  <si>
    <t>£265 million</t>
  </si>
  <si>
    <t>Support work on future nuclear fuels, new nuclear manufacturing techniques, recycling and reprocessing and advanced reactor design</t>
  </si>
  <si>
    <t>£460 million</t>
  </si>
  <si>
    <t>Advisory Board</t>
  </si>
  <si>
    <t>Develop capabiliy and capacity of nuclear regulators to support development of advanced technologies</t>
  </si>
  <si>
    <t>£7 million</t>
  </si>
  <si>
    <t>Sector deal as part of Government's Industrial Strategy, focus on achieving cost reductions</t>
  </si>
  <si>
    <t>£177 million</t>
  </si>
  <si>
    <t>New innovation opportunities likely in areas like floating offshore wind platfors, advanced solar PV technologies</t>
  </si>
  <si>
    <t>Part of above</t>
  </si>
  <si>
    <t>CCUS - see business chapter</t>
  </si>
  <si>
    <t>Ofgem support to network companies for smarter, flexible networks, from enabling integration of clean generation to customer-focussed energy efficiency measures</t>
  </si>
  <si>
    <t>Networks</t>
  </si>
  <si>
    <t>£525 million</t>
  </si>
  <si>
    <t>Network</t>
  </si>
  <si>
    <t>(N)</t>
  </si>
  <si>
    <r>
      <t xml:space="preserve">Close the </t>
    </r>
    <r>
      <rPr>
        <i/>
        <sz val="11"/>
        <color theme="1"/>
        <rFont val="Calibri"/>
        <family val="2"/>
        <scheme val="minor"/>
      </rPr>
      <t>CRC Energy Efficiency scheme</t>
    </r>
  </si>
  <si>
    <r>
      <t xml:space="preserve">Increase the main rates of the </t>
    </r>
    <r>
      <rPr>
        <i/>
        <sz val="11"/>
        <color theme="1"/>
        <rFont val="Calibri"/>
        <family val="2"/>
        <scheme val="minor"/>
      </rPr>
      <t>Climate Change Levy</t>
    </r>
    <r>
      <rPr>
        <sz val="11"/>
        <color theme="1"/>
        <rFont val="Calibri"/>
        <family val="2"/>
        <scheme val="minor"/>
      </rPr>
      <t xml:space="preserve"> to drive energy efficiency</t>
    </r>
  </si>
  <si>
    <r>
      <t xml:space="preserve">Evaluate the </t>
    </r>
    <r>
      <rPr>
        <i/>
        <sz val="11"/>
        <color theme="1"/>
        <rFont val="Calibri"/>
        <family val="2"/>
        <scheme val="minor"/>
      </rPr>
      <t>Climate Change Agreements</t>
    </r>
    <r>
      <rPr>
        <sz val="11"/>
        <color theme="1"/>
        <rFont val="Calibri"/>
        <family val="2"/>
        <scheme val="minor"/>
      </rPr>
      <t xml:space="preserve"> to inform any successor scheme from 2023</t>
    </r>
  </si>
  <si>
    <r>
      <t>Review schemes such as</t>
    </r>
    <r>
      <rPr>
        <i/>
        <sz val="11"/>
        <color theme="1"/>
        <rFont val="Calibri"/>
        <family val="2"/>
        <scheme val="minor"/>
      </rPr>
      <t xml:space="preserve"> Energy Savings Opportunity Scheme (ESOS)</t>
    </r>
    <r>
      <rPr>
        <sz val="11"/>
        <color theme="1"/>
        <rFont val="Calibri"/>
        <family val="2"/>
        <scheme val="minor"/>
      </rPr>
      <t>, assess effectiveness and consider future reforms</t>
    </r>
  </si>
  <si>
    <r>
      <t xml:space="preserve">Establish an </t>
    </r>
    <r>
      <rPr>
        <i/>
        <sz val="11"/>
        <color theme="1"/>
        <rFont val="Calibri"/>
        <family val="2"/>
        <scheme val="minor"/>
      </rPr>
      <t>Industrial Energy Efficiency scheme</t>
    </r>
    <r>
      <rPr>
        <sz val="11"/>
        <color theme="1"/>
        <rFont val="Calibri"/>
        <family val="2"/>
        <scheme val="minor"/>
      </rPr>
      <t xml:space="preserve"> to help large companies install measures to cut their energy use and their bills</t>
    </r>
  </si>
  <si>
    <t>Available?</t>
  </si>
  <si>
    <t>Natural Resources</t>
  </si>
  <si>
    <t xml:space="preserve">New agri-environment system with a focus on delivering better environmental outcomes </t>
  </si>
  <si>
    <t>Support industry in strengthening farm biosecurity - start with tackling endemic diseases in beef and dairy herds</t>
  </si>
  <si>
    <t>Work with industry to encourage use of low-emission fertilisers</t>
  </si>
  <si>
    <t>Review uptake levels - use as evidence for future policies</t>
  </si>
  <si>
    <t>Review over the next five years</t>
  </si>
  <si>
    <r>
      <t xml:space="preserve">Work with industry to produce </t>
    </r>
    <r>
      <rPr>
        <i/>
        <sz val="11"/>
        <color theme="1"/>
        <rFont val="Calibri"/>
        <family val="2"/>
        <scheme val="minor"/>
      </rPr>
      <t xml:space="preserve">UK Bioeconomy Strategy </t>
    </r>
    <r>
      <rPr>
        <sz val="11"/>
        <color theme="1"/>
        <rFont val="Calibri"/>
        <family val="2"/>
        <scheme val="minor"/>
      </rPr>
      <t>linking up industry, academia, innovators, farmers, land managers - develop bio-based chemicals, plastics and other materials</t>
    </r>
  </si>
  <si>
    <t>New incentive structure</t>
  </si>
  <si>
    <r>
      <t>Support renewable energy projects through</t>
    </r>
    <r>
      <rPr>
        <i/>
        <sz val="11"/>
        <color theme="1"/>
        <rFont val="Calibri"/>
        <family val="2"/>
        <scheme val="minor"/>
      </rPr>
      <t xml:space="preserve"> Rural Development Plan for England (RDPE) Growth Programme</t>
    </r>
    <r>
      <rPr>
        <sz val="11"/>
        <color theme="1"/>
        <rFont val="Calibri"/>
        <family val="2"/>
        <scheme val="minor"/>
      </rPr>
      <t xml:space="preserve"> and</t>
    </r>
    <r>
      <rPr>
        <i/>
        <sz val="11"/>
        <color theme="1"/>
        <rFont val="Calibri"/>
        <family val="2"/>
        <scheme val="minor"/>
      </rPr>
      <t xml:space="preserve"> Countryside Productivity Offers</t>
    </r>
  </si>
  <si>
    <t>Policy proposals creating condition for investment from private and charitable sector to accelerate rate of tree planting, new skills and reliable supply</t>
  </si>
  <si>
    <t>8a</t>
  </si>
  <si>
    <t>8b</t>
  </si>
  <si>
    <t>Create incentives and rules to establish and support new regional and national community woodlands</t>
  </si>
  <si>
    <t>Incentives and rules</t>
  </si>
  <si>
    <t>Support woodland planting - commitment to plant 11 million trees</t>
  </si>
  <si>
    <t>Set up stronger and more attractive domestic carbon offset market, supporting tree planting and extend to other land activities</t>
  </si>
  <si>
    <t>Set up carbon offset market</t>
  </si>
  <si>
    <t>Establish forestry investment zones to offer investors streamlined decision market and more certainty within shorter timelines</t>
  </si>
  <si>
    <t>Design woodland creation incentives to encourage planting on marginal land</t>
  </si>
  <si>
    <t xml:space="preserve">Incentives </t>
  </si>
  <si>
    <t>Incentives</t>
  </si>
  <si>
    <t>Support peat restoration in England</t>
  </si>
  <si>
    <t>Work with industry to increase amount of UK timber used in construction - lock-in carbon domestically</t>
  </si>
  <si>
    <t>Support local authorities to have separate collection of food waste to divert food from landfill</t>
  </si>
  <si>
    <r>
      <t xml:space="preserve">Set out new </t>
    </r>
    <r>
      <rPr>
        <i/>
        <sz val="11"/>
        <color theme="1"/>
        <rFont val="Calibri"/>
        <family val="2"/>
        <scheme val="minor"/>
      </rPr>
      <t xml:space="preserve">Resources and Waste strategy: </t>
    </r>
    <r>
      <rPr>
        <sz val="11"/>
        <color theme="1"/>
        <rFont val="Calibri"/>
        <family val="2"/>
        <scheme val="minor"/>
      </rPr>
      <t>maximising resource productivity, maximising value from resources (longetivity etc.), managing materials at EoL</t>
    </r>
  </si>
  <si>
    <t>Network of resource efficiency clusters led by Local Enterprise Partnerships (LEPs) - supported by data</t>
  </si>
  <si>
    <t>19a</t>
  </si>
  <si>
    <t>19b</t>
  </si>
  <si>
    <t>Supporting industrial symbiosis and development of new disruptive business models</t>
  </si>
  <si>
    <t>Partnership</t>
  </si>
  <si>
    <t>New business models</t>
  </si>
  <si>
    <r>
      <t xml:space="preserve">Explore how to better incentivise producers to be more resource efficient through </t>
    </r>
    <r>
      <rPr>
        <i/>
        <sz val="11"/>
        <color theme="1"/>
        <rFont val="Calibri"/>
        <family val="2"/>
        <scheme val="minor"/>
      </rPr>
      <t>producer responsbility scheme</t>
    </r>
  </si>
  <si>
    <r>
      <t xml:space="preserve">Action to reduce food waste through </t>
    </r>
    <r>
      <rPr>
        <i/>
        <sz val="11"/>
        <color theme="1"/>
        <rFont val="Calibri"/>
        <family val="2"/>
        <scheme val="minor"/>
      </rPr>
      <t xml:space="preserve">Courtauld 2025 Agreement </t>
    </r>
  </si>
  <si>
    <t>Research and analysis to support new approaches to manage emissions from landfill</t>
  </si>
  <si>
    <t>Research</t>
  </si>
  <si>
    <r>
      <t>Overall:</t>
    </r>
    <r>
      <rPr>
        <sz val="11"/>
        <color theme="1"/>
        <rFont val="Calibri"/>
        <family val="2"/>
        <scheme val="minor"/>
      </rPr>
      <t xml:space="preserve"> Innovation in natural resources</t>
    </r>
  </si>
  <si>
    <t>£99 million</t>
  </si>
  <si>
    <t>Currently available</t>
  </si>
  <si>
    <t>£160 million</t>
  </si>
  <si>
    <r>
      <rPr>
        <b/>
        <sz val="11"/>
        <color theme="1"/>
        <rFont val="Calibri"/>
        <family val="2"/>
        <scheme val="minor"/>
      </rPr>
      <t>Overall:</t>
    </r>
    <r>
      <rPr>
        <sz val="11"/>
        <color theme="1"/>
        <rFont val="Calibri"/>
        <family val="2"/>
        <scheme val="minor"/>
      </rPr>
      <t xml:space="preserve"> Innovation in natural resources through Agri-Tech Strategy</t>
    </r>
  </si>
  <si>
    <t>Agri-Tech Catalyst supporting research on innovative technologies</t>
  </si>
  <si>
    <t>Past</t>
  </si>
  <si>
    <t>£11.8 million</t>
  </si>
  <si>
    <t>Agrimetrics Centre to use data science and modelling to create more productive, sustainable and efficient food system</t>
  </si>
  <si>
    <t>£17.7 million</t>
  </si>
  <si>
    <t xml:space="preserve">Centre for Crop Health and Protection (CHAP) </t>
  </si>
  <si>
    <t>Agricultural Engineering Precision Innovation Centre (Agri-EPI) on precision agriculture</t>
  </si>
  <si>
    <t>£21.3 million</t>
  </si>
  <si>
    <t>Centre for Innovation Excellence in Livestock (CIEL)</t>
  </si>
  <si>
    <t>£29.1 million</t>
  </si>
  <si>
    <t xml:space="preserve">Develop low carbon fertilisers, explore potential for bio-stimulants </t>
  </si>
  <si>
    <t>Funding?</t>
  </si>
  <si>
    <t>Support research into soil health and greenhouse gas removals (GGR) and abatement technologies</t>
  </si>
  <si>
    <t>£8.6 million (part)</t>
  </si>
  <si>
    <t>Explore crops and livestock genetics, mitigation potential of new breeding technologies and barriers</t>
  </si>
  <si>
    <t>Greater understanding of how tree genetics can contribute to GGRs</t>
  </si>
  <si>
    <t>Work with anaerobic digestion sector on improved digestion and ammonia and phosphate extraction technologies, focus on reducing methane emissions</t>
  </si>
  <si>
    <t>Encourage development of business models that encourage resource efficiency, extend product life, conserve resources and prevent waste</t>
  </si>
  <si>
    <r>
      <t xml:space="preserve">Development of more flexible and efficient processes and materials through </t>
    </r>
    <r>
      <rPr>
        <i/>
        <sz val="11"/>
        <color theme="1"/>
        <rFont val="Calibri"/>
        <family val="2"/>
        <scheme val="minor"/>
      </rPr>
      <t>Manufacturing and Materials Competition</t>
    </r>
  </si>
  <si>
    <t>£15 million</t>
  </si>
  <si>
    <r>
      <t xml:space="preserve">Work with waste sector on energy recovery processes, considering </t>
    </r>
    <r>
      <rPr>
        <i/>
        <sz val="11"/>
        <color theme="1"/>
        <rFont val="Calibri"/>
        <family val="2"/>
        <scheme val="minor"/>
      </rPr>
      <t xml:space="preserve">National Infrastructure Commision's </t>
    </r>
    <r>
      <rPr>
        <sz val="11"/>
        <color theme="1"/>
        <rFont val="Calibri"/>
        <family val="2"/>
        <scheme val="minor"/>
      </rPr>
      <t>work on different pathways for the treatment of waste</t>
    </r>
  </si>
  <si>
    <t>Work with business to explore use of bio-based materials and promote recyclable packaging</t>
  </si>
  <si>
    <t>Research on landfill gas capture management</t>
  </si>
  <si>
    <t>Partnership with business and civil society towards zero avoidable waste</t>
  </si>
  <si>
    <t>Public Sector</t>
  </si>
  <si>
    <t>50% emission reduction by 2032</t>
  </si>
  <si>
    <t>Further policies to realise carbon and cost saving potential</t>
  </si>
  <si>
    <t xml:space="preserve">Target </t>
  </si>
  <si>
    <t>Currently discussing, publish in due course</t>
  </si>
  <si>
    <t>Not published yet</t>
  </si>
  <si>
    <t>£295 million</t>
  </si>
  <si>
    <t>Continue to support in 2017/18</t>
  </si>
  <si>
    <t>Each local area to coordinate own local industrial strategy in alignment with national Industrial Strategy</t>
  </si>
  <si>
    <r>
      <t xml:space="preserve">Additional powers and responsibilities through </t>
    </r>
    <r>
      <rPr>
        <i/>
        <sz val="11"/>
        <color theme="1"/>
        <rFont val="Calibri"/>
        <family val="2"/>
        <scheme val="minor"/>
      </rPr>
      <t>Cities and Local Government Devolution Act 2016</t>
    </r>
  </si>
  <si>
    <t>Devolution</t>
  </si>
  <si>
    <t>Since 2016</t>
  </si>
  <si>
    <t>Work with local areas to support delivery of energy commitments, develop partnerships and enable access to low carbon procurement frameworks</t>
  </si>
  <si>
    <t>Funding for Local Enterprise Partnership (LEPs) to develop local energy strategies</t>
  </si>
  <si>
    <t>Funding / Strategy</t>
  </si>
  <si>
    <t>13 funded in 2017, continue support for remaining 25</t>
  </si>
  <si>
    <t>Funding / Partnership</t>
  </si>
  <si>
    <t>Launch Local Energy Programme to support local areas in England in decarbonisation - demonstrate that deep decarbonisation can be achieved through local system change</t>
  </si>
  <si>
    <t>Make Energy Innovation Board clean technology innovation funds accessible to local actors / communities</t>
  </si>
  <si>
    <r>
      <t xml:space="preserve">Local Energy Contact Group to support local leaders, building on previous </t>
    </r>
    <r>
      <rPr>
        <i/>
        <sz val="11"/>
        <color theme="1"/>
        <rFont val="Calibri"/>
        <family val="2"/>
        <scheme val="minor"/>
      </rPr>
      <t xml:space="preserve">Community Energy Contact Group </t>
    </r>
    <r>
      <rPr>
        <sz val="11"/>
        <color theme="1"/>
        <rFont val="Calibri"/>
        <family val="2"/>
        <scheme val="minor"/>
      </rPr>
      <t>- dialogue between local stakeholders and Ministers</t>
    </r>
  </si>
  <si>
    <t>Industry</t>
  </si>
  <si>
    <t>Align with Brexit?</t>
  </si>
  <si>
    <t>Consider participation in EU ETS or develop alternative scheme post Brexit</t>
  </si>
  <si>
    <t>Trading scheme</t>
  </si>
  <si>
    <t>Consultation planned for 2019, subject to review conclusions (spring 2018)</t>
  </si>
  <si>
    <t>Decision in 2018</t>
  </si>
  <si>
    <t>Publish plans in Autumn 2017 budget</t>
  </si>
  <si>
    <t>Develop 2018-22</t>
  </si>
  <si>
    <t>Decision in 2021 about design of ECO 2022-28</t>
  </si>
  <si>
    <t>Taskforce 2017, Examine plans 2018-19, Transition to sustainable heat network market by 2026</t>
  </si>
  <si>
    <t>Additional energy efficiency measures, including focus on 'green mortgage' products, incentives and other levers</t>
  </si>
  <si>
    <t>Call for Evidence 2017, publish action plan 2018</t>
  </si>
  <si>
    <t>Market based measures</t>
  </si>
  <si>
    <t>I&amp;B 11b, H8</t>
  </si>
  <si>
    <r>
      <t xml:space="preserve">Independent review of </t>
    </r>
    <r>
      <rPr>
        <i/>
        <sz val="11"/>
        <color theme="1"/>
        <rFont val="Calibri"/>
        <family val="2"/>
        <scheme val="minor"/>
      </rPr>
      <t>Building Regulations and Fire Safety</t>
    </r>
  </si>
  <si>
    <r>
      <t xml:space="preserve">Improvements to </t>
    </r>
    <r>
      <rPr>
        <i/>
        <sz val="11"/>
        <color theme="1"/>
        <rFont val="Calibri"/>
        <family val="2"/>
        <scheme val="minor"/>
      </rPr>
      <t>Building Regulations</t>
    </r>
    <r>
      <rPr>
        <sz val="11"/>
        <color theme="1"/>
        <rFont val="Calibri"/>
        <family val="2"/>
        <scheme val="minor"/>
      </rPr>
      <t xml:space="preserve"> requirements for new and existing commercial buildings: promote low carbon and higher energy efficiency heating, ventilation and air conditioning systems </t>
    </r>
  </si>
  <si>
    <r>
      <t xml:space="preserve">Improvements to </t>
    </r>
    <r>
      <rPr>
        <i/>
        <sz val="11"/>
        <color theme="1"/>
        <rFont val="Calibri"/>
        <family val="2"/>
        <scheme val="minor"/>
      </rPr>
      <t xml:space="preserve">Building Regulation </t>
    </r>
    <r>
      <rPr>
        <sz val="11"/>
        <color theme="1"/>
        <rFont val="Calibri"/>
        <family val="2"/>
        <scheme val="minor"/>
      </rPr>
      <t>requirements, based on review results</t>
    </r>
  </si>
  <si>
    <t>Stakeholder event 2017 to launch plans</t>
  </si>
  <si>
    <t>Call for evidence 2017</t>
  </si>
  <si>
    <r>
      <t xml:space="preserve">Reform and streamline </t>
    </r>
    <r>
      <rPr>
        <i/>
        <sz val="11"/>
        <color theme="1"/>
        <rFont val="Calibri"/>
        <family val="2"/>
        <scheme val="minor"/>
      </rPr>
      <t xml:space="preserve">Green Deal </t>
    </r>
    <r>
      <rPr>
        <sz val="11"/>
        <color theme="1"/>
        <rFont val="Calibri"/>
        <family val="2"/>
        <scheme val="minor"/>
      </rPr>
      <t xml:space="preserve">framework to make </t>
    </r>
    <r>
      <rPr>
        <i/>
        <sz val="11"/>
        <color theme="1"/>
        <rFont val="Calibri"/>
        <family val="2"/>
        <scheme val="minor"/>
      </rPr>
      <t>'Pay As You Save'</t>
    </r>
    <r>
      <rPr>
        <sz val="11"/>
        <color theme="1"/>
        <rFont val="Calibri"/>
        <family val="2"/>
        <scheme val="minor"/>
      </rPr>
      <t xml:space="preserve"> more accessible to business while ensuring consumer protection</t>
    </r>
  </si>
  <si>
    <t>Market reform</t>
  </si>
  <si>
    <t>Standard improvements</t>
  </si>
  <si>
    <t>Call for evidence by spring 2018</t>
  </si>
  <si>
    <t>Reform of EPCs: Potential to extending to other trigger points (?) and further improvements, considering Brexit</t>
  </si>
  <si>
    <t>??</t>
  </si>
  <si>
    <r>
      <t>Legislation (</t>
    </r>
    <r>
      <rPr>
        <i/>
        <sz val="11"/>
        <color theme="1"/>
        <rFont val="Calibri"/>
        <family val="2"/>
        <scheme val="minor"/>
      </rPr>
      <t>Automated and Electric Vehicles Bill</t>
    </r>
    <r>
      <rPr>
        <sz val="11"/>
        <color theme="1"/>
        <rFont val="Calibri"/>
        <family val="2"/>
        <scheme val="minor"/>
      </rPr>
      <t>)</t>
    </r>
  </si>
  <si>
    <r>
      <t>Extend</t>
    </r>
    <r>
      <rPr>
        <i/>
        <sz val="11"/>
        <color theme="1"/>
        <rFont val="Calibri"/>
        <family val="2"/>
        <scheme val="minor"/>
      </rPr>
      <t xml:space="preserve"> Renewable Transport Fuel Obligation (RTFO)</t>
    </r>
    <r>
      <rPr>
        <sz val="11"/>
        <color theme="1"/>
        <rFont val="Calibri"/>
        <family val="2"/>
        <scheme val="minor"/>
      </rPr>
      <t xml:space="preserve"> to include incentives to use biofuels in aviation</t>
    </r>
  </si>
  <si>
    <r>
      <rPr>
        <i/>
        <sz val="11"/>
        <color theme="1"/>
        <rFont val="Calibri"/>
        <family val="2"/>
        <scheme val="minor"/>
      </rPr>
      <t xml:space="preserve">Future Fuels for Flight and Freight Competition </t>
    </r>
    <r>
      <rPr>
        <sz val="11"/>
        <color theme="1"/>
        <rFont val="Calibri"/>
        <family val="2"/>
        <scheme val="minor"/>
      </rPr>
      <t>to encourage development and deployment of low carbon HGV and aviation fuels</t>
    </r>
  </si>
  <si>
    <r>
      <rPr>
        <i/>
        <sz val="11"/>
        <color theme="1"/>
        <rFont val="Calibri"/>
        <family val="2"/>
        <scheme val="minor"/>
      </rPr>
      <t>Future Fuels for Flight and Freight</t>
    </r>
    <r>
      <rPr>
        <sz val="11"/>
        <color theme="1"/>
        <rFont val="Calibri"/>
        <family val="2"/>
        <scheme val="minor"/>
      </rPr>
      <t xml:space="preserve"> - industry competition for development and deployment of low carbon HGV and aviation fuels </t>
    </r>
  </si>
  <si>
    <t>Under development, perspective until 2024</t>
  </si>
  <si>
    <t xml:space="preserve">Publish strategy by March 2018 </t>
  </si>
  <si>
    <t>Since late 2016, findings expected 2019</t>
  </si>
  <si>
    <t>Trial announced in Aug 2017, findings expected 2020</t>
  </si>
  <si>
    <t>9, 19</t>
  </si>
  <si>
    <t>13b, 19</t>
  </si>
  <si>
    <t>Continue out to 2032</t>
  </si>
  <si>
    <t>Announced in autumn 2016, uptake out to 2032</t>
  </si>
  <si>
    <r>
      <t xml:space="preserve">Investment in local cycling and walking infrastructure as per </t>
    </r>
    <r>
      <rPr>
        <i/>
        <sz val="11"/>
        <color theme="1"/>
        <rFont val="Calibri"/>
        <family val="2"/>
        <scheme val="minor"/>
      </rPr>
      <t>Cycling and Walking Investment Strategy</t>
    </r>
    <r>
      <rPr>
        <sz val="11"/>
        <color theme="1"/>
        <rFont val="Calibri"/>
        <family val="2"/>
        <scheme val="minor"/>
      </rPr>
      <t xml:space="preserve"> with long-term approach (10 year period)</t>
    </r>
  </si>
  <si>
    <t>Currently consulting, strategy / Green Paper by the end of 2018</t>
  </si>
  <si>
    <r>
      <t>Development of new aircraft technology with</t>
    </r>
    <r>
      <rPr>
        <i/>
        <sz val="11"/>
        <color theme="1"/>
        <rFont val="Calibri"/>
        <family val="2"/>
        <scheme val="minor"/>
      </rPr>
      <t xml:space="preserve"> Aerospace Technology Institute </t>
    </r>
    <r>
      <rPr>
        <sz val="11"/>
        <color theme="1"/>
        <rFont val="Calibri"/>
        <family val="2"/>
        <scheme val="minor"/>
      </rPr>
      <t>(joint industry and government commitment)</t>
    </r>
  </si>
  <si>
    <t>Biofuels regulation</t>
  </si>
  <si>
    <t>ICAO regime begins</t>
  </si>
  <si>
    <t>Aviation</t>
  </si>
  <si>
    <t xml:space="preserve">Regulation </t>
  </si>
  <si>
    <t>From 2020</t>
  </si>
  <si>
    <t>Out to 2028</t>
  </si>
  <si>
    <t>EU emission regulation for 2021-30</t>
  </si>
  <si>
    <t>Expected 2019</t>
  </si>
  <si>
    <t>Renewables Obligation scheme</t>
  </si>
  <si>
    <t>Power</t>
  </si>
  <si>
    <t>Scheme closure</t>
  </si>
  <si>
    <t>Scheme closes to all grace period applicants</t>
  </si>
  <si>
    <t>Spring 2019</t>
  </si>
  <si>
    <t>UK to set out regulatory approach in view of Brexit</t>
  </si>
  <si>
    <t>Small-scale Feedin-in Tariff</t>
  </si>
  <si>
    <t>Want to see more investment without government support</t>
  </si>
  <si>
    <t>Mid 2019</t>
  </si>
  <si>
    <t>Options for approach to small scale low carbon generation (considering closure of RO and Feed-in tariff schemes)</t>
  </si>
  <si>
    <t>Beyond 2019, Update on future policy approach end of 2017</t>
  </si>
  <si>
    <t xml:space="preserve">Contract for Difference </t>
  </si>
  <si>
    <t xml:space="preserve">Scheme </t>
  </si>
  <si>
    <t>Pot 2 CFD round open in Spring 2019, 2023: Offshore wind contract to build at £57.50 MWh</t>
  </si>
  <si>
    <t>Out to 2032</t>
  </si>
  <si>
    <t>EDF target commissioning date 2025</t>
  </si>
  <si>
    <t>R,D&amp;D on smart and resilient power system from Government, Research Councils &amp; Innovate UK to reduce cost of electricity storage, advance innovative demand response technologies and new ways of balancing the grid (e.g. EVs)</t>
  </si>
  <si>
    <r>
      <t xml:space="preserve">Convene a new Advisory Board, building on success of </t>
    </r>
    <r>
      <rPr>
        <i/>
        <sz val="11"/>
        <color theme="1"/>
        <rFont val="Calibri"/>
        <family val="2"/>
        <scheme val="minor"/>
      </rPr>
      <t>Nuclear Innovation and Research Advisory Board (NIRAB)</t>
    </r>
    <r>
      <rPr>
        <sz val="11"/>
        <color theme="1"/>
        <rFont val="Calibri"/>
        <family val="2"/>
        <scheme val="minor"/>
      </rPr>
      <t xml:space="preserve"> - support and inform </t>
    </r>
    <r>
      <rPr>
        <i/>
        <sz val="11"/>
        <color theme="1"/>
        <rFont val="Calibri"/>
        <family val="2"/>
        <scheme val="minor"/>
      </rPr>
      <t>Nuclear Innovation Programme</t>
    </r>
  </si>
  <si>
    <t>Progress discussions by 2024(?)</t>
  </si>
  <si>
    <t>By 2025, detailed response to consulation end of 2017</t>
  </si>
  <si>
    <t>Capacity makret</t>
  </si>
  <si>
    <t>Market</t>
  </si>
  <si>
    <t>Statutory review of capacity market in 2019</t>
  </si>
  <si>
    <t>Legally separate system operator by 2019</t>
  </si>
  <si>
    <t>New framework from 2021, following Brexit</t>
  </si>
  <si>
    <t>Strategy / Sector Deal</t>
  </si>
  <si>
    <t>2015-21</t>
  </si>
  <si>
    <t>2013-26</t>
  </si>
  <si>
    <t>Consultation 2018-20, subject to review conclusions (spring 2018)</t>
  </si>
  <si>
    <t>Rollout 2017-32</t>
  </si>
  <si>
    <t>2015-20</t>
  </si>
  <si>
    <t xml:space="preserve">Government, Research Councils &amp; Innovate UK funding on further reducing cost of renewables, including offshore wind turbine blade technology and foundations. </t>
  </si>
  <si>
    <t>New farm woodland 2022</t>
  </si>
  <si>
    <t>Greenhouse Gas Action Plan (GHGAP)</t>
  </si>
  <si>
    <t>Review published in 2017, update on agriculture metrics 2019</t>
  </si>
  <si>
    <t>Agriculture</t>
  </si>
  <si>
    <t>Review 2017, Update 2019</t>
  </si>
  <si>
    <t>Concept in 2018, Identify FIZs in 2019, proposals and consultation in 2021</t>
  </si>
  <si>
    <t>Develop new incentive structure for growth in forestry and renewables from within UK - Forestry Investment Zones (FIZ)</t>
  </si>
  <si>
    <t>Out to 2025</t>
  </si>
  <si>
    <t>Available from Apr 18 for three years / out to 2023 (p130)</t>
  </si>
  <si>
    <t>Discrepancy in timescales</t>
  </si>
  <si>
    <t>Open for bids 2017, scheme until 2020</t>
  </si>
  <si>
    <t>By end of 2020</t>
  </si>
  <si>
    <r>
      <t xml:space="preserve">Fund larger-scale woodland and forest creation through </t>
    </r>
    <r>
      <rPr>
        <i/>
        <sz val="11"/>
        <color theme="1"/>
        <rFont val="Calibri"/>
        <family val="2"/>
        <scheme val="minor"/>
      </rPr>
      <t>Woodland carbon funding</t>
    </r>
  </si>
  <si>
    <t>25 Year Enironment Plan</t>
  </si>
  <si>
    <t>Strategy / Action Plan</t>
  </si>
  <si>
    <t>Government’s approach to improving our natural environment, including reducing both carbon emissions and other dangerous pollutants</t>
  </si>
  <si>
    <t>Y?</t>
  </si>
  <si>
    <t>Published 2018</t>
  </si>
  <si>
    <t>From 2018, out to 2032</t>
  </si>
  <si>
    <r>
      <t>Increase levels of recycling, improve utilisation of food and bio-waste and incentivise reuse, repair and remanufacturing - Decision what follows</t>
    </r>
    <r>
      <rPr>
        <i/>
        <sz val="11"/>
        <color theme="1"/>
        <rFont val="Calibri"/>
        <family val="2"/>
        <scheme val="minor"/>
      </rPr>
      <t xml:space="preserve"> EU Waste Framework Directive</t>
    </r>
  </si>
  <si>
    <t>EU Waste Framework Directive</t>
  </si>
  <si>
    <t>Waste</t>
  </si>
  <si>
    <t>Directive</t>
  </si>
  <si>
    <t>New legally binding targets for recycling in 2018 - UK to set out regulatory approach in view of Brexit</t>
  </si>
  <si>
    <t>EU Landfill Directive</t>
  </si>
  <si>
    <t>Target to restrict biodegradable municipal waste landfilled, UK to set out regulatory approach in view of Brexit</t>
  </si>
  <si>
    <t>Legislation?</t>
  </si>
  <si>
    <t>Pledge</t>
  </si>
  <si>
    <t>By 2030 / 2036</t>
  </si>
  <si>
    <r>
      <t xml:space="preserve">Phase down use of hydrofluorocarbons (HFCs) 79% by 2030, 85% by 2036 according to </t>
    </r>
    <r>
      <rPr>
        <i/>
        <sz val="11"/>
        <color theme="1"/>
        <rFont val="Calibri"/>
        <family val="2"/>
        <scheme val="minor"/>
      </rPr>
      <t>Montreal Protocol</t>
    </r>
  </si>
  <si>
    <t>Introduce voluntary wider public and higher education sector target of 30% reduction by 2021/21 and proportionate reporting framework</t>
  </si>
  <si>
    <t>1c</t>
  </si>
  <si>
    <t>More ambitious target in 2020s (e.g. 50% by 2030), consider mandatory target</t>
  </si>
  <si>
    <t>Announce more ambitious target 2019, review evidence for mandatory target 2021</t>
  </si>
  <si>
    <t>2017: Call for evidence and develop reporting framework, introduce target April 2018</t>
  </si>
  <si>
    <t>Lead department</t>
  </si>
  <si>
    <t>BEIS</t>
  </si>
  <si>
    <t>Publish alongside CGS, Introduce in 2019</t>
  </si>
  <si>
    <t>Develop new and streamlined energy and carbon reporting framework, replacing CRC reporting element, align with mandatory annual GHG reporting by UK quoted companies</t>
  </si>
  <si>
    <t>Consultation published alongside CGS, Scheme until 2021</t>
  </si>
  <si>
    <r>
      <t xml:space="preserve">Design of a new </t>
    </r>
    <r>
      <rPr>
        <i/>
        <sz val="11"/>
        <color theme="1"/>
        <rFont val="Calibri"/>
        <family val="2"/>
        <scheme val="minor"/>
      </rPr>
      <t xml:space="preserve">industrial heat recovery programme </t>
    </r>
    <r>
      <rPr>
        <sz val="11"/>
        <color theme="1"/>
        <rFont val="Calibri"/>
        <family val="2"/>
        <scheme val="minor"/>
      </rPr>
      <t xml:space="preserve">to make use of heat otherwise wasted </t>
    </r>
  </si>
  <si>
    <r>
      <t xml:space="preserve">Improving </t>
    </r>
    <r>
      <rPr>
        <i/>
        <sz val="11"/>
        <color theme="1"/>
        <rFont val="Calibri"/>
        <family val="2"/>
        <scheme val="minor"/>
      </rPr>
      <t xml:space="preserve">Building Regulation </t>
    </r>
    <r>
      <rPr>
        <sz val="11"/>
        <color theme="1"/>
        <rFont val="Calibri"/>
        <family val="2"/>
        <scheme val="minor"/>
      </rPr>
      <t xml:space="preserve">requirements for new homes for installation of lower carbon heating systems, based on review results </t>
    </r>
  </si>
  <si>
    <t>H8, H17</t>
  </si>
  <si>
    <t>Published alongside CGS</t>
  </si>
  <si>
    <t>17a</t>
  </si>
  <si>
    <t>17b</t>
  </si>
  <si>
    <t>Taskforce</t>
  </si>
  <si>
    <t>From 2017</t>
  </si>
  <si>
    <r>
      <t xml:space="preserve">Establish new Ministerial-led </t>
    </r>
    <r>
      <rPr>
        <i/>
        <sz val="11"/>
        <color theme="1"/>
        <rFont val="Calibri"/>
        <family val="2"/>
        <scheme val="minor"/>
      </rPr>
      <t xml:space="preserve">CCUS Council </t>
    </r>
    <r>
      <rPr>
        <sz val="11"/>
        <color theme="1"/>
        <rFont val="Calibri"/>
        <family val="2"/>
        <scheme val="minor"/>
      </rPr>
      <t xml:space="preserve">with industry and </t>
    </r>
    <r>
      <rPr>
        <i/>
        <sz val="11"/>
        <color theme="1"/>
        <rFont val="Calibri"/>
        <family val="2"/>
        <scheme val="minor"/>
      </rPr>
      <t xml:space="preserve">CCUS Cost Challenge Taskforce </t>
    </r>
    <r>
      <rPr>
        <sz val="11"/>
        <color theme="1"/>
        <rFont val="Calibri"/>
        <family val="2"/>
        <scheme val="minor"/>
      </rPr>
      <t>to deliver a plan to reduce the cost of deploying CCUS</t>
    </r>
  </si>
  <si>
    <t>I&amp;B11b, H17</t>
  </si>
  <si>
    <t>H2, H3a</t>
  </si>
  <si>
    <t>I&amp;B12</t>
  </si>
  <si>
    <t>4b, I&amp;B12</t>
  </si>
  <si>
    <t>Framework, various</t>
  </si>
  <si>
    <t>BEIS / DCLG</t>
  </si>
  <si>
    <t>DCLG</t>
  </si>
  <si>
    <t>Department for Communities and Local Government</t>
  </si>
  <si>
    <t>MHCLG</t>
  </si>
  <si>
    <t>Ministry of Housing, Communities and Local Government (renamed)</t>
  </si>
  <si>
    <t>HMT</t>
  </si>
  <si>
    <t>HM Treasury</t>
  </si>
  <si>
    <t>Department for Business, Energy and Industrial Strategy</t>
  </si>
  <si>
    <t>BEIS/HMT</t>
  </si>
  <si>
    <t>Expected to commence in 2018</t>
  </si>
  <si>
    <t>H15a</t>
  </si>
  <si>
    <r>
      <t xml:space="preserve">Phase out the installation of high carbon fossil fuel heating in new and existing business buildings off the gas grid, beyond support through </t>
    </r>
    <r>
      <rPr>
        <i/>
        <sz val="11"/>
        <color theme="1"/>
        <rFont val="Calibri"/>
        <family val="2"/>
        <scheme val="minor"/>
      </rPr>
      <t>Renewable Heat Incentive (RHI)</t>
    </r>
  </si>
  <si>
    <t>I&amp;B11b, I&amp;B14b, H8</t>
  </si>
  <si>
    <r>
      <rPr>
        <i/>
        <sz val="11"/>
        <color theme="1"/>
        <rFont val="Calibri"/>
        <family val="2"/>
        <scheme val="minor"/>
      </rPr>
      <t xml:space="preserve">Industrial Energy Efficiency Accelerator </t>
    </r>
    <r>
      <rPr>
        <sz val="11"/>
        <color theme="1"/>
        <rFont val="Calibri"/>
        <family val="2"/>
        <scheme val="minor"/>
      </rPr>
      <t>to help reduce emissions from UK industry by increasing the commercially viable options available</t>
    </r>
  </si>
  <si>
    <r>
      <rPr>
        <i/>
        <sz val="11"/>
        <color theme="1"/>
        <rFont val="Calibri"/>
        <family val="2"/>
        <scheme val="minor"/>
      </rPr>
      <t>Industrial Digitalisation Review</t>
    </r>
    <r>
      <rPr>
        <sz val="11"/>
        <color theme="1"/>
        <rFont val="Calibri"/>
        <family val="2"/>
        <scheme val="minor"/>
      </rPr>
      <t xml:space="preserve"> to investigate how the design, development and deployment of digital technologies can drive increased  national productivity</t>
    </r>
  </si>
  <si>
    <t>BEIS / HMT</t>
  </si>
  <si>
    <t>2017, consult in 2018</t>
  </si>
  <si>
    <r>
      <t xml:space="preserve">Upgrade around a million homes through </t>
    </r>
    <r>
      <rPr>
        <i/>
        <sz val="11"/>
        <color theme="1"/>
        <rFont val="Calibri"/>
        <family val="2"/>
        <scheme val="minor"/>
      </rPr>
      <t>Energy Company Obligation (ECO)</t>
    </r>
    <r>
      <rPr>
        <sz val="11"/>
        <color theme="1"/>
        <rFont val="Calibri"/>
        <family val="2"/>
        <scheme val="minor"/>
      </rPr>
      <t>, focus on low income households</t>
    </r>
  </si>
  <si>
    <r>
      <rPr>
        <i/>
        <sz val="11"/>
        <color theme="1"/>
        <rFont val="Calibri"/>
        <family val="2"/>
        <scheme val="minor"/>
      </rPr>
      <t>Boiler Plus</t>
    </r>
    <r>
      <rPr>
        <sz val="11"/>
        <color theme="1"/>
        <rFont val="Calibri"/>
        <family val="2"/>
        <scheme val="minor"/>
      </rPr>
      <t xml:space="preserve"> standards for new boiler installations, including control devices with every installation</t>
    </r>
  </si>
  <si>
    <t>By 2019 (following review recommendations)</t>
  </si>
  <si>
    <t>DfT</t>
  </si>
  <si>
    <t>Department for Transport</t>
  </si>
  <si>
    <t>See strategy p50</t>
  </si>
  <si>
    <t>See 21, 22</t>
  </si>
  <si>
    <r>
      <t xml:space="preserve">Development of new </t>
    </r>
    <r>
      <rPr>
        <i/>
        <sz val="11"/>
        <color theme="1"/>
        <rFont val="Calibri"/>
        <family val="2"/>
        <scheme val="minor"/>
      </rPr>
      <t>Aviation Strategy</t>
    </r>
    <r>
      <rPr>
        <sz val="11"/>
        <color theme="1"/>
        <rFont val="Calibri"/>
        <family val="2"/>
        <scheme val="minor"/>
      </rPr>
      <t xml:space="preserve"> - how to support growth whilst tackling environmental impacts</t>
    </r>
  </si>
  <si>
    <t>announced 2016, deploy 2017-21</t>
  </si>
  <si>
    <r>
      <rPr>
        <i/>
        <sz val="11"/>
        <color theme="1"/>
        <rFont val="Calibri"/>
        <family val="2"/>
        <scheme val="minor"/>
      </rPr>
      <t>Low Emission Freight and Logistics Trial:</t>
    </r>
    <r>
      <rPr>
        <sz val="11"/>
        <color theme="1"/>
        <rFont val="Calibri"/>
        <family val="2"/>
        <scheme val="minor"/>
      </rPr>
      <t xml:space="preserve"> demonstrate and trial low and zero emission vehicles in UK fleets, e.g. hydrogen, electric or biogas technologies. Longer term: Potential for dynamic charging and other innovations</t>
    </r>
  </si>
  <si>
    <t>Pilot 2017, evaluate outcomes</t>
  </si>
  <si>
    <r>
      <t xml:space="preserve">Pathway for UK's long term </t>
    </r>
    <r>
      <rPr>
        <i/>
        <sz val="11"/>
        <color theme="1"/>
        <rFont val="Calibri"/>
        <family val="2"/>
        <scheme val="minor"/>
      </rPr>
      <t xml:space="preserve">Zero Emission Road Transport Strategy </t>
    </r>
    <r>
      <rPr>
        <sz val="11"/>
        <color theme="1"/>
        <rFont val="Calibri"/>
        <family val="2"/>
        <scheme val="minor"/>
      </rPr>
      <t>document</t>
    </r>
  </si>
  <si>
    <t>Strategy / targets</t>
  </si>
  <si>
    <t>DfT / Defra</t>
  </si>
  <si>
    <t>Defra</t>
  </si>
  <si>
    <t>Department for Environment, Food and Rural Affairs</t>
  </si>
  <si>
    <t>EU HGV CO2 emission reporting and monitoring starts</t>
  </si>
  <si>
    <t>Reporting and monitoring from Jan 2019</t>
  </si>
  <si>
    <t>UK approach?</t>
  </si>
  <si>
    <t>Reporting starts Jan 2019</t>
  </si>
  <si>
    <t>Decision(s) on future fiscal support/tax incentives for ULEVs</t>
  </si>
  <si>
    <t>Financial measures</t>
  </si>
  <si>
    <t>Winners announced in Jan 2017, report results 2019</t>
  </si>
  <si>
    <t>Decision on domestic regulatory regime for car/van CO2 regulations in context of Brexit, further strengthen controls on CO2 emissions, at least as ambitious as current arrangement</t>
  </si>
  <si>
    <t>2019: EU regulation on CO2 targets up to 2030, UK to set out regulatory approach by 2019</t>
  </si>
  <si>
    <t>Invest out to 2020</t>
  </si>
  <si>
    <t>Publish strategy 2017, invest out to 2020</t>
  </si>
  <si>
    <t>Decisions on support for cycling and walking following end of current funding period (to 2019/20)</t>
  </si>
  <si>
    <t>Funding decisions</t>
  </si>
  <si>
    <t>Decision by 2020?</t>
  </si>
  <si>
    <t>Decisions on next steps in light of platoon and longer semi-trailer trials</t>
  </si>
  <si>
    <t>Mid 2020s</t>
  </si>
  <si>
    <r>
      <rPr>
        <i/>
        <sz val="11"/>
        <color theme="1"/>
        <rFont val="Calibri"/>
        <family val="2"/>
        <scheme val="minor"/>
      </rPr>
      <t xml:space="preserve">Centre for Connencted and Autonomous Vehicles (CCAV) </t>
    </r>
    <r>
      <rPr>
        <sz val="11"/>
        <color theme="1"/>
        <rFont val="Calibri"/>
        <family val="2"/>
        <scheme val="minor"/>
      </rPr>
      <t>to position UK at forefront of research, development and demonstration, potential to smooth traffic flows and invcrease efficiency of road transport</t>
    </r>
  </si>
  <si>
    <t>Decision on domestic regulatory regime for freight CO2 regulations in view of Brexit</t>
  </si>
  <si>
    <t>13, 19</t>
  </si>
  <si>
    <t>13, 13c</t>
  </si>
  <si>
    <t>13c</t>
  </si>
  <si>
    <t>Reporting scheme</t>
  </si>
  <si>
    <t>Ongoing, IMO initial plan 2018, final plan 2023</t>
  </si>
  <si>
    <t>End 2017</t>
  </si>
  <si>
    <r>
      <t xml:space="preserve">Replace existing </t>
    </r>
    <r>
      <rPr>
        <i/>
        <sz val="11"/>
        <color theme="1"/>
        <rFont val="Calibri"/>
        <family val="2"/>
        <scheme val="minor"/>
      </rPr>
      <t>Levy Control Framework</t>
    </r>
    <r>
      <rPr>
        <sz val="11"/>
        <color theme="1"/>
        <rFont val="Calibri"/>
        <family val="2"/>
        <scheme val="minor"/>
      </rPr>
      <t xml:space="preserve"> with a new sets of controls beyond 2020/21</t>
    </r>
  </si>
  <si>
    <t>Ofgem</t>
  </si>
  <si>
    <t>Modified license for storage summer 2018</t>
  </si>
  <si>
    <t>Office of Gas and Electricity Markets</t>
  </si>
  <si>
    <t>Ofgem / National Grid</t>
  </si>
  <si>
    <t>Pot 2 Contract for Difference auctions</t>
  </si>
  <si>
    <t>£557 million</t>
  </si>
  <si>
    <t>Published Jul 2017, Out to 2020</t>
  </si>
  <si>
    <t>Sector Deal 2017-21, Bioeconomy strategy 2018-21, publish 2017</t>
  </si>
  <si>
    <t>Defra / BEIS</t>
  </si>
  <si>
    <t>HMT?</t>
  </si>
  <si>
    <t>2017 onwards</t>
  </si>
  <si>
    <t>9, 11</t>
  </si>
  <si>
    <t>8, 9</t>
  </si>
  <si>
    <t>Support rural communities and set out agroforestry decisions</t>
  </si>
  <si>
    <t>Over the next two years</t>
  </si>
  <si>
    <t>£200 million</t>
  </si>
  <si>
    <t xml:space="preserve">Elliminate all waste where technologically, environmentally and economically practicable - support innovation in new materials, products and processes to extend range of materials covered </t>
  </si>
  <si>
    <t>EU target 2020 - 2018: Decision in view of Brexit</t>
  </si>
  <si>
    <t>£19.2 million</t>
  </si>
  <si>
    <t>2019-2030 / By 2021</t>
  </si>
  <si>
    <t>Out to 2025, ongoing review of progress</t>
  </si>
  <si>
    <t>By 2050</t>
  </si>
  <si>
    <t>By 2030, approach in view of Brexit</t>
  </si>
  <si>
    <t>? Future opportunity</t>
  </si>
  <si>
    <r>
      <t xml:space="preserve">Funding for </t>
    </r>
    <r>
      <rPr>
        <i/>
        <sz val="11"/>
        <color theme="1"/>
        <rFont val="Calibri"/>
        <family val="2"/>
        <scheme val="minor"/>
      </rPr>
      <t>public sector energy efficiency loan scheme</t>
    </r>
    <r>
      <rPr>
        <sz val="11"/>
        <color theme="1"/>
        <rFont val="Calibri"/>
        <family val="2"/>
        <scheme val="minor"/>
      </rPr>
      <t>. In England available to wider public and higher education sectors, similar schemes in Scotland and Wales</t>
    </r>
  </si>
  <si>
    <r>
      <t xml:space="preserve">Higher targets for 2020 </t>
    </r>
    <r>
      <rPr>
        <i/>
        <sz val="11"/>
        <color theme="1"/>
        <rFont val="Calibri"/>
        <family val="2"/>
        <scheme val="minor"/>
      </rPr>
      <t>Greening Government Commitments (GGCs)</t>
    </r>
    <r>
      <rPr>
        <sz val="11"/>
        <color theme="1"/>
        <rFont val="Calibri"/>
        <family val="2"/>
        <scheme val="minor"/>
      </rPr>
      <t xml:space="preserve"> and actions</t>
    </r>
  </si>
  <si>
    <t>Review existing policies, assess whether chnages are needed. Call for Evidence 2017</t>
  </si>
  <si>
    <t>Number of policies</t>
  </si>
  <si>
    <t>Allocated</t>
  </si>
  <si>
    <t>Department</t>
  </si>
  <si>
    <t>£903 million</t>
  </si>
  <si>
    <t>Demand focus</t>
  </si>
  <si>
    <t>local</t>
  </si>
  <si>
    <t>LEP</t>
  </si>
  <si>
    <t xml:space="preserve">SME </t>
  </si>
  <si>
    <t>region*</t>
  </si>
  <si>
    <t>Scheme</t>
  </si>
  <si>
    <t>Type</t>
  </si>
  <si>
    <t>Energy demand focus?</t>
  </si>
  <si>
    <t>Directive amended 2018</t>
  </si>
  <si>
    <t>UK approach ?</t>
  </si>
  <si>
    <t>Directive under negation</t>
  </si>
  <si>
    <t>Policies mentioned in Chapter 3</t>
  </si>
  <si>
    <t>disrupt*</t>
  </si>
  <si>
    <t>mandatory</t>
  </si>
  <si>
    <t>Overview</t>
  </si>
  <si>
    <t>Area</t>
  </si>
  <si>
    <t>Business Energy Efficiency</t>
  </si>
  <si>
    <t>Energy Efficient Buildings</t>
  </si>
  <si>
    <t>Manufacturing and Heavy Industry</t>
  </si>
  <si>
    <t>ULEV uptake</t>
  </si>
  <si>
    <t>Zero emission technologies</t>
  </si>
  <si>
    <t>Low carbon freight</t>
  </si>
  <si>
    <t>Efficient vehicles and driving</t>
  </si>
  <si>
    <t>Lower carbon fuels</t>
  </si>
  <si>
    <t>Aviation and shipping</t>
  </si>
  <si>
    <t>Low carbon electricity</t>
  </si>
  <si>
    <t>Smart &amp; efficient energy</t>
  </si>
  <si>
    <t>Keeping costs down</t>
  </si>
  <si>
    <t>Gov Innov Invest</t>
  </si>
  <si>
    <t>Farmers &amp; rural businesses</t>
  </si>
  <si>
    <t>Land as carbon sink</t>
  </si>
  <si>
    <t>Zero avoidable waste</t>
  </si>
  <si>
    <t>Government departments</t>
  </si>
  <si>
    <t>Targets &amp; reporting</t>
  </si>
  <si>
    <t>Access to Finance</t>
  </si>
  <si>
    <t>#</t>
  </si>
  <si>
    <t>Improving Homes, reducing bills</t>
  </si>
  <si>
    <t>Low carbon car alternatives</t>
  </si>
  <si>
    <t>Time</t>
  </si>
  <si>
    <t>Inv</t>
  </si>
  <si>
    <t>Dep</t>
  </si>
  <si>
    <t>Dem-yes</t>
  </si>
  <si>
    <t>Dem-no</t>
  </si>
  <si>
    <t>Obligations</t>
  </si>
  <si>
    <t>Targ</t>
  </si>
  <si>
    <t>Obl</t>
  </si>
  <si>
    <t>Y - on business</t>
  </si>
  <si>
    <t>Category</t>
  </si>
  <si>
    <t>Spec target / outcomes</t>
  </si>
  <si>
    <t>Spec targets / outcomes</t>
  </si>
  <si>
    <t>Spec target / outcome</t>
  </si>
  <si>
    <t>Relative</t>
  </si>
  <si>
    <t>Vague</t>
  </si>
  <si>
    <t>Voluntary</t>
  </si>
  <si>
    <t>Possibly</t>
  </si>
  <si>
    <t>Overall</t>
  </si>
  <si>
    <t xml:space="preserve">Design of a new industrial heat recovery programme to make use of heat otherwise wasted </t>
  </si>
  <si>
    <t>GII</t>
  </si>
  <si>
    <t>Demand side</t>
  </si>
  <si>
    <t>Supply side</t>
  </si>
  <si>
    <t>Amount</t>
  </si>
  <si>
    <t>Specific targets</t>
  </si>
  <si>
    <t>More details in CGS</t>
  </si>
  <si>
    <t>Y - on landlords</t>
  </si>
  <si>
    <t>Y - close scheme</t>
  </si>
  <si>
    <t xml:space="preserve">Y - phase out </t>
  </si>
  <si>
    <t>Y - establish council</t>
  </si>
  <si>
    <t>Y - at least 20% by 2030</t>
  </si>
  <si>
    <t>Y - 1mil</t>
  </si>
  <si>
    <t>Y - EPC E</t>
  </si>
  <si>
    <t xml:space="preserve">Y - EPC C </t>
  </si>
  <si>
    <t>Y - on suppliers</t>
  </si>
  <si>
    <t>Y - on manufacturers</t>
  </si>
  <si>
    <t>2032 emission reduction</t>
  </si>
  <si>
    <t>83 Mt</t>
  </si>
  <si>
    <r>
      <t>Grow UK heat networks market to be self-sustaining in the longer term. Support significant investment for e.g. construction of heat networks for areas with high heat demand density. Funding allocated in 2015</t>
    </r>
    <r>
      <rPr>
        <i/>
        <sz val="11"/>
        <color theme="1"/>
        <rFont val="Calibri"/>
        <family val="2"/>
        <scheme val="minor"/>
      </rPr>
      <t xml:space="preserve"> Spending Review</t>
    </r>
  </si>
  <si>
    <t>£70 million</t>
  </si>
  <si>
    <t>Y - on infrastructure providers</t>
  </si>
  <si>
    <t>Y - hydrogen refuelling network</t>
  </si>
  <si>
    <t>Y - on government</t>
  </si>
  <si>
    <t>Y - on procurers</t>
  </si>
  <si>
    <t xml:space="preserve">Potentially recommend zero emission capability in urban areas by 2032 for national taxi and PHV standards, potentially mandatory target </t>
  </si>
  <si>
    <t>Y - on industry</t>
  </si>
  <si>
    <t>58 Mt</t>
  </si>
  <si>
    <t>16 Mt</t>
  </si>
  <si>
    <t>41 Mt</t>
  </si>
  <si>
    <t>4 Mt</t>
  </si>
  <si>
    <t>26% emission reduction by 2032</t>
  </si>
  <si>
    <t>29% emission reduction by 2032</t>
  </si>
  <si>
    <t>19% emission reduction by 2032</t>
  </si>
  <si>
    <t>2032 target</t>
  </si>
  <si>
    <t>Y - 2040</t>
  </si>
  <si>
    <t>Y - p.86</t>
  </si>
  <si>
    <t>Y - p.86: efficiency</t>
  </si>
  <si>
    <t>near doubling / tbc</t>
  </si>
  <si>
    <t>End 2018</t>
  </si>
  <si>
    <t>Retrofitting (thousands) and new (hundreds) low emission buses in England and Wales</t>
  </si>
  <si>
    <t>Total Government spending - demand side</t>
  </si>
  <si>
    <t>Total Government spending - supply side</t>
  </si>
  <si>
    <r>
      <t>Development of new aircraft technology with</t>
    </r>
    <r>
      <rPr>
        <i/>
        <sz val="11"/>
        <rFont val="Calibri"/>
        <family val="2"/>
        <scheme val="minor"/>
      </rPr>
      <t xml:space="preserve"> Aerospace Technology Institute </t>
    </r>
    <r>
      <rPr>
        <sz val="11"/>
        <rFont val="Calibri"/>
        <family val="2"/>
        <scheme val="minor"/>
      </rPr>
      <t>(joint industry and government commitment)</t>
    </r>
  </si>
  <si>
    <r>
      <t xml:space="preserve">Upgrade around a million homes through </t>
    </r>
    <r>
      <rPr>
        <i/>
        <sz val="11"/>
        <rFont val="Calibri"/>
        <family val="2"/>
        <scheme val="minor"/>
      </rPr>
      <t>Energy Company Obligation (ECO)</t>
    </r>
    <r>
      <rPr>
        <sz val="11"/>
        <rFont val="Calibri"/>
        <family val="2"/>
        <scheme val="minor"/>
      </rPr>
      <t>, focus on low income households</t>
    </r>
  </si>
  <si>
    <r>
      <rPr>
        <i/>
        <sz val="11"/>
        <rFont val="Calibri"/>
        <family val="2"/>
        <scheme val="minor"/>
      </rPr>
      <t>Renewable Heat Incentive (RHI)</t>
    </r>
    <r>
      <rPr>
        <sz val="11"/>
        <rFont val="Calibri"/>
        <family val="2"/>
        <scheme val="minor"/>
      </rPr>
      <t>: Innovative low carbon heat technologies (Heat pumps, biomas boilers and solar hot water heaters)</t>
    </r>
  </si>
  <si>
    <t>Y - 10GW</t>
  </si>
  <si>
    <t>Y - suppliers</t>
  </si>
  <si>
    <t>Ofgem / NG</t>
  </si>
  <si>
    <t>Ref to strategy</t>
  </si>
  <si>
    <t>Work with Ofgem and National Grid to create a more independent system operator (legally separate)</t>
  </si>
  <si>
    <t>Government, Research Councils &amp; Innovate UK funding on further reducing cost of renewables, including offshore wind turbine blade technology and foundations + new innovation opportunities</t>
  </si>
  <si>
    <t>12% tree cover 2060</t>
  </si>
  <si>
    <t>Reduce costs of resource use through improvev understanding of crop soil interactions, potential of robotics and sensor technologies, precision farming etc.</t>
  </si>
  <si>
    <t>Y - p.136</t>
  </si>
  <si>
    <t>N/A</t>
  </si>
  <si>
    <t>Continue support to Re:Fit programme alongside Local Partnerships</t>
  </si>
  <si>
    <r>
      <rPr>
        <i/>
        <sz val="11"/>
        <color theme="1"/>
        <rFont val="Calibri"/>
        <family val="2"/>
        <scheme val="minor"/>
      </rPr>
      <t xml:space="preserve">Energy Performance Contract </t>
    </r>
    <r>
      <rPr>
        <sz val="11"/>
        <color theme="1"/>
        <rFont val="Calibri"/>
        <family val="2"/>
        <scheme val="minor"/>
      </rPr>
      <t>= finance to invest in energy conservation measures without upfront capital costs. Expand in public sector</t>
    </r>
  </si>
  <si>
    <t>Local Leadership</t>
  </si>
  <si>
    <r>
      <t xml:space="preserve">Funding for </t>
    </r>
    <r>
      <rPr>
        <i/>
        <sz val="11"/>
        <color theme="1"/>
        <rFont val="Calibri"/>
        <family val="2"/>
        <scheme val="minor"/>
      </rPr>
      <t>public sector energy efficiency loan scheme</t>
    </r>
    <r>
      <rPr>
        <sz val="11"/>
        <color theme="1"/>
        <rFont val="Calibri"/>
        <family val="2"/>
        <scheme val="minor"/>
      </rPr>
      <t xml:space="preserve"> (schemes in England, Scotland, Wales)</t>
    </r>
  </si>
  <si>
    <r>
      <rPr>
        <i/>
        <sz val="11"/>
        <color theme="1"/>
        <rFont val="Calibri"/>
        <family val="2"/>
        <scheme val="minor"/>
      </rPr>
      <t>Industrial Energy Efficiency Accelerator</t>
    </r>
    <r>
      <rPr>
        <sz val="11"/>
        <color theme="1"/>
        <rFont val="Calibri"/>
        <family val="2"/>
        <scheme val="minor"/>
      </rPr>
      <t xml:space="preserve"> to help reduce emissions from UK industry by increasing the commercially viable options available</t>
    </r>
  </si>
  <si>
    <t xml:space="preserve">Market </t>
  </si>
  <si>
    <t>Fiscal</t>
  </si>
  <si>
    <t>Regulatory</t>
  </si>
  <si>
    <t>Other</t>
  </si>
  <si>
    <t>voluntary2</t>
  </si>
  <si>
    <t>Various / other</t>
  </si>
  <si>
    <t>Dem-Investment</t>
  </si>
  <si>
    <t>Dem-Partner</t>
  </si>
  <si>
    <t>Dem-Regulatory</t>
  </si>
  <si>
    <t>Dem-Voluntary</t>
  </si>
  <si>
    <t>Dem-Market</t>
  </si>
  <si>
    <t>Dem-Fiscal</t>
  </si>
  <si>
    <t>Dem-?</t>
  </si>
  <si>
    <t>Dem-Various/other</t>
  </si>
  <si>
    <t>Dem-category</t>
  </si>
  <si>
    <t>Target</t>
  </si>
  <si>
    <t xml:space="preserve">Various </t>
  </si>
  <si>
    <t>Dem-Information</t>
  </si>
  <si>
    <t>Word count (within policies, Ch4+Annex B)</t>
  </si>
  <si>
    <t># of policies</t>
  </si>
  <si>
    <t># demand focus</t>
  </si>
  <si>
    <t>%</t>
  </si>
  <si>
    <t>%2</t>
  </si>
  <si>
    <t>Type of policy</t>
  </si>
  <si>
    <t>Maybe/unsure</t>
  </si>
  <si>
    <r>
      <t>·</t>
    </r>
    <r>
      <rPr>
        <sz val="7"/>
        <color theme="1"/>
        <rFont val="Times New Roman"/>
        <family val="1"/>
      </rPr>
      <t xml:space="preserve">         </t>
    </r>
    <r>
      <rPr>
        <sz val="11"/>
        <color theme="1"/>
        <rFont val="Calibri"/>
        <family val="2"/>
        <scheme val="minor"/>
      </rPr>
      <t>Timescales</t>
    </r>
  </si>
  <si>
    <r>
      <t>·</t>
    </r>
    <r>
      <rPr>
        <sz val="7"/>
        <color theme="1"/>
        <rFont val="Times New Roman"/>
        <family val="1"/>
      </rPr>
      <t xml:space="preserve">         </t>
    </r>
    <r>
      <rPr>
        <sz val="11"/>
        <color theme="1"/>
        <rFont val="Calibri"/>
        <family val="2"/>
        <scheme val="minor"/>
      </rPr>
      <t>Specific targets / outcomes</t>
    </r>
  </si>
  <si>
    <r>
      <t>·</t>
    </r>
    <r>
      <rPr>
        <sz val="7"/>
        <color theme="1"/>
        <rFont val="Times New Roman"/>
        <family val="1"/>
      </rPr>
      <t xml:space="preserve">         </t>
    </r>
    <r>
      <rPr>
        <sz val="11"/>
        <color theme="1"/>
        <rFont val="Calibri"/>
        <family val="2"/>
        <scheme val="minor"/>
      </rPr>
      <t>Obligations</t>
    </r>
  </si>
  <si>
    <t>An overview of funding allocated to demand and supply side policies in each sector</t>
  </si>
  <si>
    <t>Notes</t>
  </si>
  <si>
    <t>4_Other</t>
  </si>
  <si>
    <t>1_PolicyDatabase</t>
  </si>
  <si>
    <t>2_MetaAnalysis</t>
  </si>
  <si>
    <t>Introduction</t>
  </si>
  <si>
    <r>
      <t>·</t>
    </r>
    <r>
      <rPr>
        <sz val="7"/>
        <color theme="1"/>
        <rFont val="Times New Roman"/>
        <family val="1"/>
      </rPr>
      <t xml:space="preserve">         </t>
    </r>
    <r>
      <rPr>
        <sz val="11"/>
        <color theme="1"/>
        <rFont val="Calibri"/>
        <family val="2"/>
        <scheme val="minor"/>
      </rPr>
      <t>Type of policy</t>
    </r>
  </si>
  <si>
    <r>
      <t xml:space="preserve">Industrial Strategy Sector Deal with </t>
    </r>
    <r>
      <rPr>
        <i/>
        <sz val="11"/>
        <color theme="1"/>
        <rFont val="Calibri"/>
        <family val="2"/>
        <scheme val="minor"/>
      </rPr>
      <t xml:space="preserve">Automotive Council </t>
    </r>
    <r>
      <rPr>
        <sz val="11"/>
        <color theme="1"/>
        <rFont val="Calibri"/>
        <family val="2"/>
        <scheme val="minor"/>
      </rPr>
      <t xml:space="preserve">and </t>
    </r>
    <r>
      <rPr>
        <i/>
        <sz val="11"/>
        <color theme="1"/>
        <rFont val="Calibri"/>
        <family val="2"/>
        <scheme val="minor"/>
      </rPr>
      <t>Advanced Propulsion Centre</t>
    </r>
    <r>
      <rPr>
        <sz val="11"/>
        <color theme="1"/>
        <rFont val="Calibri"/>
        <family val="2"/>
        <scheme val="minor"/>
      </rPr>
      <t xml:space="preserve"> to accelerate transition to zero emission vehicles, complemented by research</t>
    </r>
  </si>
  <si>
    <t>Vehicle demand</t>
  </si>
  <si>
    <t>Efficiency</t>
  </si>
  <si>
    <t>Go Ultra Low Initiative, informing motorists and businesses about benefits of ULEVs</t>
  </si>
  <si>
    <t>Total Government spending - vehicle demand + efficiency</t>
  </si>
  <si>
    <t>Total Government spending - travel demand</t>
  </si>
  <si>
    <t>Worksheet overview</t>
  </si>
  <si>
    <t>See worksheet 3</t>
  </si>
  <si>
    <t>See worksheet 2</t>
  </si>
  <si>
    <t>Published July 18</t>
  </si>
  <si>
    <t>Published Dec 2016</t>
  </si>
  <si>
    <t>Published July 2017</t>
  </si>
  <si>
    <t>See page 69</t>
  </si>
  <si>
    <t>In Annex B</t>
  </si>
  <si>
    <t>Total</t>
  </si>
  <si>
    <t>£2.189 billion</t>
  </si>
  <si>
    <t>285Mt</t>
  </si>
  <si>
    <t>In Executive Summary</t>
  </si>
  <si>
    <t>Database breakdown</t>
  </si>
  <si>
    <t>FSB = Financial Stability Board, international body that monitors and makes recommendations about the global financial system</t>
  </si>
  <si>
    <t>Advise/Information</t>
  </si>
  <si>
    <r>
      <rPr>
        <sz val="11"/>
        <color theme="1"/>
        <rFont val="Calibri"/>
        <family val="2"/>
        <scheme val="minor"/>
      </rPr>
      <t>To be completed by first half of 2018 - progress?</t>
    </r>
  </si>
  <si>
    <r>
      <t xml:space="preserve">Consider </t>
    </r>
    <r>
      <rPr>
        <b/>
        <sz val="11"/>
        <color theme="9" tint="-0.499984740745262"/>
        <rFont val="Calibri"/>
        <family val="2"/>
        <scheme val="minor"/>
      </rPr>
      <t>Royal Society</t>
    </r>
    <r>
      <rPr>
        <b/>
        <sz val="11"/>
        <color theme="1"/>
        <rFont val="Calibri"/>
        <family val="2"/>
        <scheme val="minor"/>
      </rPr>
      <t xml:space="preserve"> </t>
    </r>
    <r>
      <rPr>
        <sz val="11"/>
        <color theme="1"/>
        <rFont val="Calibri"/>
        <family val="2"/>
        <scheme val="minor"/>
      </rPr>
      <t>scientific views on GGR</t>
    </r>
  </si>
  <si>
    <t>Meta-analysis</t>
  </si>
  <si>
    <t>Home energy use per household</t>
  </si>
  <si>
    <t>See Carbon Price Floor Briefing Paper, published Jan 2018</t>
  </si>
  <si>
    <t>Details in autumn 2017 budget</t>
  </si>
  <si>
    <t>Reduced emissions, higher share from clean sources</t>
  </si>
  <si>
    <t>See pages 122 and 142 for power secor targets</t>
  </si>
  <si>
    <t>See pages 122 and 142 for road transport targets</t>
  </si>
  <si>
    <t>See pages 122 and 142 for building secor targets</t>
  </si>
  <si>
    <t>See pages 122 and 142 for industrial secor targets</t>
  </si>
  <si>
    <t>Energy use per output</t>
  </si>
  <si>
    <t>Total woodland area</t>
  </si>
  <si>
    <t>See pages 122 and 142 for targets nat resources</t>
  </si>
  <si>
    <t>8, 11</t>
  </si>
  <si>
    <t>Y - p142</t>
  </si>
  <si>
    <t>Emissions intensity</t>
  </si>
  <si>
    <t>sustainab*</t>
  </si>
  <si>
    <t>% of UK emissions</t>
  </si>
  <si>
    <t>In Chapter 4</t>
  </si>
  <si>
    <t>Government investment</t>
  </si>
  <si>
    <t>Dem-inv</t>
  </si>
  <si>
    <t>Sup-inv</t>
  </si>
  <si>
    <t>Supply focus</t>
  </si>
  <si>
    <t>Policy mix</t>
  </si>
  <si>
    <t>Policy mix (demand side)</t>
  </si>
  <si>
    <t>Share of demand policies</t>
  </si>
  <si>
    <t>Other schemes mentioned in Chapter 4</t>
  </si>
  <si>
    <t>Worksheet name</t>
  </si>
  <si>
    <t>Worksheet content</t>
  </si>
  <si>
    <t>Brief introduction summarising the methods and how to use the database.</t>
  </si>
  <si>
    <t>Database including all policies listed in the main body of the CGS, including categorisation and characteristics.</t>
  </si>
  <si>
    <t>Meta-analysis carried out based on the information collected in the database.</t>
  </si>
  <si>
    <t>3_Investment</t>
  </si>
  <si>
    <t>Overview of demand side and supply side funding as described in the CGS.</t>
  </si>
  <si>
    <t>Overview of other schemes and policies mentioned in the CGS.</t>
  </si>
  <si>
    <t>30% emission reduction by 2032</t>
  </si>
  <si>
    <t>The work presented here was carried out as part of the new UK Centre for Research into Energy Demand Solutions (CREDS), which aims to deliver further, faster and more flexible change in energy demand.</t>
  </si>
  <si>
    <r>
      <t xml:space="preserve">The working paper </t>
    </r>
    <r>
      <rPr>
        <b/>
        <i/>
        <sz val="11"/>
        <color theme="1"/>
        <rFont val="Calibri"/>
        <family val="2"/>
        <scheme val="minor"/>
      </rPr>
      <t>"Policies and Proposals in the Clean Growth Strategy - Database, sector overview and meta-analysis"</t>
    </r>
    <r>
      <rPr>
        <b/>
        <sz val="11"/>
        <color theme="1"/>
        <rFont val="Calibri"/>
        <family val="2"/>
        <scheme val="minor"/>
      </rPr>
      <t xml:space="preserve"> </t>
    </r>
    <r>
      <rPr>
        <sz val="11"/>
        <color theme="1"/>
        <rFont val="Calibri"/>
        <family val="2"/>
        <scheme val="minor"/>
      </rPr>
      <t xml:space="preserve">by S. Reiss &amp; T. Fawcett provides more detail about methodology and findings. </t>
    </r>
  </si>
  <si>
    <t>The database is based on the specific policies and proposals[1] listed in Chapter 4 (Sectors) and Annex B (Actions and Milestones) of the CGS.</t>
  </si>
  <si>
    <t>Policies and Proposals in the Clean Growth Strategy</t>
  </si>
  <si>
    <t>Database, sector overview and meta-analysis</t>
  </si>
  <si>
    <t>Worksheet 1_PolicyDatabase</t>
  </si>
  <si>
    <t>Worksheet 2_MetaAnalysis</t>
  </si>
  <si>
    <t>Worksheet 3_Investment</t>
  </si>
  <si>
    <t>Worksheet 4_Other</t>
  </si>
  <si>
    <t>Each policy/proposal is listed by page number, number of the policy or proposal in Chapter 4 and sector area as defined in the CGS. For the many cases where numbered items include several different aspects, these are broken down into separate items to allow for categorisation[2].</t>
  </si>
  <si>
    <r>
      <t>·</t>
    </r>
    <r>
      <rPr>
        <sz val="7"/>
        <color theme="1"/>
        <rFont val="Times New Roman"/>
        <family val="1"/>
      </rPr>
      <t xml:space="preserve">         </t>
    </r>
    <r>
      <rPr>
        <sz val="11"/>
        <color theme="1"/>
        <rFont val="Calibri"/>
        <family val="2"/>
        <scheme val="minor"/>
      </rPr>
      <t>Category</t>
    </r>
  </si>
  <si>
    <r>
      <t>·</t>
    </r>
    <r>
      <rPr>
        <sz val="7"/>
        <color theme="1"/>
        <rFont val="Times New Roman"/>
        <family val="1"/>
      </rPr>
      <t xml:space="preserve">         </t>
    </r>
    <r>
      <rPr>
        <sz val="11"/>
        <color theme="1"/>
        <rFont val="Calibri"/>
        <family val="2"/>
        <scheme val="minor"/>
      </rPr>
      <t>Investment</t>
    </r>
  </si>
  <si>
    <r>
      <t>·</t>
    </r>
    <r>
      <rPr>
        <sz val="7"/>
        <color theme="1"/>
        <rFont val="Times New Roman"/>
        <family val="1"/>
      </rPr>
      <t>         L</t>
    </r>
    <r>
      <rPr>
        <sz val="11"/>
        <color theme="1"/>
        <rFont val="Calibri"/>
        <family val="2"/>
        <scheme val="minor"/>
      </rPr>
      <t>ead department</t>
    </r>
  </si>
  <si>
    <r>
      <t>·</t>
    </r>
    <r>
      <rPr>
        <sz val="7"/>
        <color theme="1"/>
        <rFont val="Times New Roman"/>
        <family val="1"/>
      </rPr>
      <t xml:space="preserve">         </t>
    </r>
    <r>
      <rPr>
        <sz val="11"/>
        <color theme="1"/>
        <rFont val="Calibri"/>
        <family val="2"/>
        <scheme val="minor"/>
      </rPr>
      <t>Focus on demand or supply side [3]</t>
    </r>
  </si>
  <si>
    <r>
      <t>·</t>
    </r>
    <r>
      <rPr>
        <sz val="7"/>
        <color theme="1"/>
        <rFont val="Times New Roman"/>
        <family val="1"/>
      </rPr>
      <t xml:space="preserve">         </t>
    </r>
    <r>
      <rPr>
        <sz val="11"/>
        <color theme="1"/>
        <rFont val="Calibri"/>
        <family val="2"/>
        <scheme val="minor"/>
      </rPr>
      <t>Overlap with other policies</t>
    </r>
  </si>
  <si>
    <t>For each entry, the following specific details have been collected partly based on Chapter 4, Annex A and Annex B and partly based on judgement:</t>
  </si>
  <si>
    <r>
      <t>·</t>
    </r>
    <r>
      <rPr>
        <sz val="7"/>
        <color theme="1"/>
        <rFont val="Times New Roman"/>
        <family val="1"/>
      </rPr>
      <t xml:space="preserve">         </t>
    </r>
    <r>
      <rPr>
        <sz val="11"/>
        <color theme="1"/>
        <rFont val="Calibri"/>
        <family val="2"/>
        <scheme val="minor"/>
      </rPr>
      <t>Comments</t>
    </r>
  </si>
  <si>
    <t>Data for meta-analysis in columns O-X (hidden)</t>
  </si>
  <si>
    <t>The meta-analysis is based on the information collected in the database, focussing on the policy mix in the different sectors with a particular look at demand side versus supply side policies. In particular, the following aspects have been analysed:</t>
  </si>
  <si>
    <r>
      <t>·</t>
    </r>
    <r>
      <rPr>
        <sz val="7"/>
        <color theme="1"/>
        <rFont val="Times New Roman"/>
        <family val="1"/>
      </rPr>
      <t xml:space="preserve">         </t>
    </r>
    <r>
      <rPr>
        <sz val="11"/>
        <color theme="1"/>
        <rFont val="Calibri"/>
        <family val="2"/>
        <scheme val="minor"/>
      </rPr>
      <t>Sector overview</t>
    </r>
  </si>
  <si>
    <r>
      <t>·</t>
    </r>
    <r>
      <rPr>
        <sz val="7"/>
        <color theme="1"/>
        <rFont val="Times New Roman"/>
        <family val="1"/>
      </rPr>
      <t xml:space="preserve">         </t>
    </r>
    <r>
      <rPr>
        <sz val="11"/>
        <color theme="1"/>
        <rFont val="Calibri"/>
        <family val="2"/>
        <scheme val="minor"/>
      </rPr>
      <t>Number of policies</t>
    </r>
  </si>
  <si>
    <r>
      <t>·</t>
    </r>
    <r>
      <rPr>
        <sz val="7"/>
        <color theme="1"/>
        <rFont val="Times New Roman"/>
        <family val="1"/>
      </rPr>
      <t xml:space="preserve">         </t>
    </r>
    <r>
      <rPr>
        <sz val="11"/>
        <color theme="1"/>
        <rFont val="Calibri"/>
        <family val="2"/>
        <scheme val="minor"/>
      </rPr>
      <t>Policies which have specific details allocated</t>
    </r>
  </si>
  <si>
    <r>
      <t>·</t>
    </r>
    <r>
      <rPr>
        <sz val="7"/>
        <color theme="1"/>
        <rFont val="Times New Roman"/>
        <family val="1"/>
      </rPr>
      <t xml:space="preserve">         </t>
    </r>
    <r>
      <rPr>
        <sz val="11"/>
        <color theme="1"/>
        <rFont val="Calibri"/>
        <family val="2"/>
        <scheme val="minor"/>
      </rPr>
      <t>Policies with demand focus versus supply focus</t>
    </r>
  </si>
  <si>
    <r>
      <t>·</t>
    </r>
    <r>
      <rPr>
        <sz val="7"/>
        <color theme="1"/>
        <rFont val="Times New Roman"/>
        <family val="1"/>
      </rPr>
      <t xml:space="preserve">         </t>
    </r>
    <r>
      <rPr>
        <sz val="11"/>
        <color theme="1"/>
        <rFont val="Calibri"/>
        <family val="2"/>
        <scheme val="minor"/>
      </rPr>
      <t>Policy mix overall</t>
    </r>
  </si>
  <si>
    <r>
      <t>·</t>
    </r>
    <r>
      <rPr>
        <sz val="7"/>
        <color theme="1"/>
        <rFont val="Times New Roman"/>
        <family val="1"/>
      </rPr>
      <t xml:space="preserve">         </t>
    </r>
    <r>
      <rPr>
        <sz val="11"/>
        <color theme="1"/>
        <rFont val="Calibri"/>
        <family val="2"/>
        <scheme val="minor"/>
      </rPr>
      <t>Policy mix of demand side policies</t>
    </r>
  </si>
  <si>
    <t>The details collected above have been summarised quantitatively in columns O-X (hidden) and used for the meta-analysis on the next sheet.</t>
  </si>
  <si>
    <t>Table 1: An overview of policies mentioned in Chapter 3 (Our Clean Growth Strategy)</t>
  </si>
  <si>
    <t>Table 2: A summary of other schemes mentioned in the CGS, such as European policies.</t>
  </si>
  <si>
    <t xml:space="preserve">[1] Note that for CCS/CCUS the policies listed on page 69 are NOT listed as individual policies but summarised as one entry. </t>
  </si>
  <si>
    <t>[2] See notes on transport policy categorsisation in supplementing working paper.</t>
  </si>
  <si>
    <t xml:space="preserve">Meta-analysis </t>
  </si>
  <si>
    <t>(based on data in worksheet 1_PolicyDatabase)</t>
  </si>
  <si>
    <t>Funding overview</t>
  </si>
  <si>
    <t>Timescales of investments may vary</t>
  </si>
  <si>
    <t>Some of the amounts are Government funding only, some include private funding, e.g. through ECO scheme</t>
  </si>
  <si>
    <t>Policy overview - Chapter 4</t>
  </si>
  <si>
    <t>Research on hydrogen as an alternative to natural gas, including looking at regulatory standards and development of appliances</t>
  </si>
  <si>
    <r>
      <t xml:space="preserve">Implement </t>
    </r>
    <r>
      <rPr>
        <i/>
        <sz val="11"/>
        <color theme="1"/>
        <rFont val="Calibri"/>
        <family val="2"/>
        <scheme val="minor"/>
      </rPr>
      <t xml:space="preserve">Each Home Counts </t>
    </r>
    <r>
      <rPr>
        <sz val="11"/>
        <color theme="1"/>
        <rFont val="Calibri"/>
        <family val="2"/>
        <scheme val="minor"/>
      </rPr>
      <t>review recommendations to improve quality and standards for retrofit energy efficiency and renewable energy installations</t>
    </r>
  </si>
  <si>
    <r>
      <t xml:space="preserve">Reforming </t>
    </r>
    <r>
      <rPr>
        <i/>
        <sz val="11"/>
        <color theme="1"/>
        <rFont val="Calibri"/>
        <family val="2"/>
        <scheme val="minor"/>
      </rPr>
      <t>RHI</t>
    </r>
    <r>
      <rPr>
        <sz val="11"/>
        <color theme="1"/>
        <rFont val="Calibri"/>
        <family val="2"/>
        <scheme val="minor"/>
      </rPr>
      <t xml:space="preserve"> to focus towards long term decarbonisation through greater uptake of technologies such as heat pumps and bio methane (biogas to grid)</t>
    </r>
  </si>
  <si>
    <r>
      <t xml:space="preserve">Phase out installation of high carbon fossil fuel heating in new and existing off gas grid in residential buildings, starting with new homes. Involve consumers and industry in policy development. Beyond support of </t>
    </r>
    <r>
      <rPr>
        <i/>
        <sz val="11"/>
        <color theme="1"/>
        <rFont val="Calibri"/>
        <family val="2"/>
        <scheme val="minor"/>
      </rPr>
      <t>RHI</t>
    </r>
  </si>
  <si>
    <r>
      <rPr>
        <i/>
        <sz val="11"/>
        <color theme="1"/>
        <rFont val="Calibri"/>
        <family val="2"/>
        <scheme val="minor"/>
      </rPr>
      <t>Renewable Heat Incentive (RHI)</t>
    </r>
    <r>
      <rPr>
        <sz val="11"/>
        <color theme="1"/>
        <rFont val="Calibri"/>
        <family val="2"/>
        <scheme val="minor"/>
      </rPr>
      <t>: support innovative low carbon heat technologies (Heat pumps, biomass boilers and solar hot water heaters)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</si>
</sst>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7" x14ac:knownFonts="1">
    <font>
      <sz val="11"/>
      <color theme="1"/>
      <name val="Calibri"/>
      <family val="2"/>
      <scheme val="minor"/>
    </font>
    <font>
      <b/>
      <sz val="11"/>
      <color theme="8" tint="0.79998168889431442"/>
      <name val="Calibri"/>
      <family val="2"/>
      <scheme val="minor"/>
    </font>
    <font>
      <sz val="11"/>
      <name val="Calibri"/>
      <family val="2"/>
      <scheme val="minor"/>
    </font>
    <font>
      <b/>
      <sz val="11"/>
      <color theme="1"/>
      <name val="Calibri"/>
      <family val="2"/>
      <scheme val="minor"/>
    </font>
    <font>
      <sz val="11"/>
      <color rgb="FF00B0F0"/>
      <name val="Calibri"/>
      <family val="2"/>
      <scheme val="minor"/>
    </font>
    <font>
      <b/>
      <sz val="11"/>
      <color theme="9" tint="-0.249977111117893"/>
      <name val="Calibri"/>
      <family val="2"/>
      <scheme val="minor"/>
    </font>
    <font>
      <sz val="11"/>
      <color theme="0" tint="-0.499984740745262"/>
      <name val="Calibri"/>
      <family val="2"/>
      <scheme val="minor"/>
    </font>
    <font>
      <b/>
      <sz val="11"/>
      <color theme="0" tint="-0.499984740745262"/>
      <name val="Calibri"/>
      <family val="2"/>
      <scheme val="minor"/>
    </font>
    <font>
      <b/>
      <sz val="11"/>
      <color theme="9" tint="-0.499984740745262"/>
      <name val="Calibri"/>
      <family val="2"/>
      <scheme val="minor"/>
    </font>
    <font>
      <b/>
      <sz val="14"/>
      <color theme="1"/>
      <name val="Calibri"/>
      <family val="2"/>
      <scheme val="minor"/>
    </font>
    <font>
      <sz val="14"/>
      <color theme="1"/>
      <name val="Calibri"/>
      <family val="2"/>
      <scheme val="minor"/>
    </font>
    <font>
      <b/>
      <sz val="11"/>
      <color theme="5" tint="0.79998168889431442"/>
      <name val="Calibri"/>
      <family val="2"/>
      <scheme val="minor"/>
    </font>
    <font>
      <b/>
      <sz val="11"/>
      <color theme="9" tint="0.79998168889431442"/>
      <name val="Calibri"/>
      <family val="2"/>
      <scheme val="minor"/>
    </font>
    <font>
      <i/>
      <sz val="11"/>
      <color theme="1"/>
      <name val="Calibri"/>
      <family val="2"/>
      <scheme val="minor"/>
    </font>
    <font>
      <b/>
      <sz val="16"/>
      <color theme="7" tint="-0.499984740745262"/>
      <name val="Calibri"/>
      <family val="2"/>
      <scheme val="minor"/>
    </font>
    <font>
      <sz val="14"/>
      <color theme="7" tint="-0.499984740745262"/>
      <name val="Calibri"/>
      <family val="2"/>
      <scheme val="minor"/>
    </font>
    <font>
      <b/>
      <sz val="16"/>
      <color rgb="FF002060"/>
      <name val="Calibri"/>
      <family val="2"/>
      <scheme val="minor"/>
    </font>
    <font>
      <sz val="14"/>
      <color rgb="FF002060"/>
      <name val="Calibri"/>
      <family val="2"/>
      <scheme val="minor"/>
    </font>
    <font>
      <b/>
      <sz val="16"/>
      <color theme="5" tint="-0.499984740745262"/>
      <name val="Calibri"/>
      <family val="2"/>
      <scheme val="minor"/>
    </font>
    <font>
      <sz val="14"/>
      <color theme="5" tint="-0.499984740745262"/>
      <name val="Calibri"/>
      <family val="2"/>
      <scheme val="minor"/>
    </font>
    <font>
      <b/>
      <sz val="11"/>
      <color theme="7" tint="0.79998168889431442"/>
      <name val="Calibri"/>
      <family val="2"/>
      <scheme val="minor"/>
    </font>
    <font>
      <b/>
      <sz val="16"/>
      <color theme="9" tint="-0.499984740745262"/>
      <name val="Calibri"/>
      <family val="2"/>
      <scheme val="minor"/>
    </font>
    <font>
      <sz val="14"/>
      <color theme="9" tint="-0.499984740745262"/>
      <name val="Calibri"/>
      <family val="2"/>
      <scheme val="minor"/>
    </font>
    <font>
      <b/>
      <sz val="16"/>
      <color theme="2" tint="-0.89999084444715716"/>
      <name val="Calibri"/>
      <family val="2"/>
      <scheme val="minor"/>
    </font>
    <font>
      <sz val="14"/>
      <color theme="2" tint="-0.89999084444715716"/>
      <name val="Calibri"/>
      <family val="2"/>
      <scheme val="minor"/>
    </font>
    <font>
      <b/>
      <sz val="11"/>
      <color theme="2"/>
      <name val="Calibri"/>
      <family val="2"/>
      <scheme val="minor"/>
    </font>
    <font>
      <b/>
      <sz val="16"/>
      <color theme="4" tint="-0.499984740745262"/>
      <name val="Calibri"/>
      <family val="2"/>
      <scheme val="minor"/>
    </font>
    <font>
      <sz val="14"/>
      <color theme="4" tint="-0.499984740745262"/>
      <name val="Calibri"/>
      <family val="2"/>
      <scheme val="minor"/>
    </font>
    <font>
      <b/>
      <sz val="12"/>
      <color rgb="FF002060"/>
      <name val="Calibri"/>
      <family val="2"/>
      <scheme val="minor"/>
    </font>
    <font>
      <b/>
      <sz val="12"/>
      <color theme="5" tint="-0.499984740745262"/>
      <name val="Calibri"/>
      <family val="2"/>
      <scheme val="minor"/>
    </font>
    <font>
      <b/>
      <sz val="12"/>
      <color theme="7" tint="-0.499984740745262"/>
      <name val="Calibri"/>
      <family val="2"/>
      <scheme val="minor"/>
    </font>
    <font>
      <b/>
      <sz val="12"/>
      <color theme="9" tint="-0.499984740745262"/>
      <name val="Calibri"/>
      <family val="2"/>
      <scheme val="minor"/>
    </font>
    <font>
      <b/>
      <sz val="12"/>
      <color theme="2" tint="-0.89999084444715716"/>
      <name val="Calibri"/>
      <family val="2"/>
      <scheme val="minor"/>
    </font>
    <font>
      <b/>
      <sz val="12"/>
      <color theme="4" tint="-0.499984740745262"/>
      <name val="Calibri"/>
      <family val="2"/>
      <scheme val="minor"/>
    </font>
    <font>
      <sz val="11"/>
      <color rgb="FF000000"/>
      <name val="Calibri"/>
      <family val="2"/>
      <scheme val="minor"/>
    </font>
    <font>
      <b/>
      <sz val="11"/>
      <color theme="0"/>
      <name val="Calibri"/>
      <family val="2"/>
      <scheme val="minor"/>
    </font>
    <font>
      <i/>
      <sz val="14"/>
      <color theme="1"/>
      <name val="Calibri"/>
      <family val="2"/>
      <scheme val="minor"/>
    </font>
    <font>
      <sz val="11"/>
      <color rgb="FFFF0000"/>
      <name val="Calibri"/>
      <family val="2"/>
      <scheme val="minor"/>
    </font>
    <font>
      <b/>
      <sz val="18"/>
      <color theme="1"/>
      <name val="Calibri"/>
      <family val="2"/>
      <scheme val="minor"/>
    </font>
    <font>
      <sz val="11"/>
      <color theme="0"/>
      <name val="Calibri"/>
      <family val="2"/>
      <scheme val="minor"/>
    </font>
    <font>
      <b/>
      <sz val="14"/>
      <color theme="0"/>
      <name val="Calibri"/>
      <family val="2"/>
      <scheme val="minor"/>
    </font>
    <font>
      <sz val="10"/>
      <color theme="1"/>
      <name val="Calibri"/>
      <family val="2"/>
      <scheme val="minor"/>
    </font>
    <font>
      <b/>
      <sz val="10"/>
      <color theme="0"/>
      <name val="Calibri"/>
      <family val="2"/>
      <scheme val="minor"/>
    </font>
    <font>
      <b/>
      <i/>
      <sz val="11"/>
      <color theme="1"/>
      <name val="Calibri"/>
      <family val="2"/>
      <scheme val="minor"/>
    </font>
    <font>
      <i/>
      <sz val="11"/>
      <name val="Calibri"/>
      <family val="2"/>
      <scheme val="minor"/>
    </font>
    <font>
      <i/>
      <sz val="11"/>
      <color rgb="FFC00000"/>
      <name val="Calibri"/>
      <family val="2"/>
      <scheme val="minor"/>
    </font>
    <font>
      <b/>
      <sz val="11"/>
      <color rgb="FF000000"/>
      <name val="Calibri"/>
      <family val="2"/>
      <scheme val="minor"/>
    </font>
    <font>
      <sz val="11"/>
      <color theme="2"/>
      <name val="Calibri"/>
      <family val="2"/>
      <scheme val="minor"/>
    </font>
    <font>
      <sz val="11"/>
      <color theme="7" tint="0.79998168889431442"/>
      <name val="Calibri"/>
      <family val="2"/>
      <scheme val="minor"/>
    </font>
    <font>
      <sz val="11"/>
      <color theme="9" tint="0.79998168889431442"/>
      <name val="Calibri"/>
      <family val="2"/>
      <scheme val="minor"/>
    </font>
    <font>
      <sz val="10"/>
      <color theme="0"/>
      <name val="Calibri"/>
      <family val="2"/>
      <scheme val="minor"/>
    </font>
    <font>
      <b/>
      <sz val="18"/>
      <color theme="4" tint="-0.499984740745262"/>
      <name val="Calibri"/>
      <family val="2"/>
      <scheme val="minor"/>
    </font>
    <font>
      <sz val="11"/>
      <color theme="1"/>
      <name val="Symbol"/>
      <family val="1"/>
      <charset val="2"/>
    </font>
    <font>
      <sz val="7"/>
      <color theme="1"/>
      <name val="Times New Roman"/>
      <family val="1"/>
    </font>
    <font>
      <i/>
      <sz val="14"/>
      <color rgb="FFFF0000"/>
      <name val="Calibri"/>
      <family val="2"/>
      <scheme val="minor"/>
    </font>
    <font>
      <b/>
      <sz val="16"/>
      <color theme="3"/>
      <name val="Calibri"/>
      <family val="2"/>
      <scheme val="minor"/>
    </font>
    <font>
      <i/>
      <sz val="14"/>
      <color rgb="FFC00000"/>
      <name val="Calibri"/>
      <family val="2"/>
      <scheme val="minor"/>
    </font>
  </fonts>
  <fills count="30">
    <fill>
      <patternFill patternType="none"/>
    </fill>
    <fill>
      <patternFill patternType="gray125"/>
    </fill>
    <fill>
      <patternFill patternType="solid">
        <fgColor rgb="FF002060"/>
        <bgColor indexed="64"/>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79998168889431442"/>
        <bgColor theme="5" tint="0.79998168889431442"/>
      </patternFill>
    </fill>
    <fill>
      <patternFill patternType="solid">
        <fgColor theme="7" tint="-0.499984740745262"/>
        <bgColor indexed="64"/>
      </patternFill>
    </fill>
    <fill>
      <patternFill patternType="solid">
        <fgColor theme="2" tint="-0.89999084444715716"/>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7"/>
        <bgColor indexed="64"/>
      </patternFill>
    </fill>
    <fill>
      <patternFill patternType="solid">
        <fgColor theme="8" tint="0.79998168889431442"/>
        <bgColor theme="8" tint="0.79998168889431442"/>
      </patternFill>
    </fill>
    <fill>
      <patternFill patternType="solid">
        <fgColor theme="8" tint="0.79998168889431442"/>
        <bgColor indexed="64"/>
      </patternFill>
    </fill>
    <fill>
      <patternFill patternType="solid">
        <fgColor theme="7" tint="0.79998168889431442"/>
        <bgColor theme="7" tint="0.79998168889431442"/>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theme="9" tint="0.79998168889431442"/>
      </patternFill>
    </fill>
    <fill>
      <patternFill patternType="solid">
        <fgColor theme="4" tint="0.79998168889431442"/>
        <bgColor theme="4" tint="0.79998168889431442"/>
      </patternFill>
    </fill>
    <fill>
      <patternFill patternType="solid">
        <fgColor theme="9"/>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5"/>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2" tint="-0.499984740745262"/>
        <bgColor indexed="64"/>
      </patternFill>
    </fill>
  </fills>
  <borders count="29">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diagonal/>
    </border>
    <border>
      <left/>
      <right style="thin">
        <color theme="7" tint="-0.499984740745262"/>
      </right>
      <top style="thin">
        <color theme="7" tint="-0.499984740745262"/>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right style="thin">
        <color theme="7" tint="-0.499984740745262"/>
      </right>
      <top style="thin">
        <color theme="7" tint="-0.499984740745262"/>
      </top>
      <bottom/>
      <diagonal/>
    </border>
    <border>
      <left style="thin">
        <color theme="7" tint="-0.499984740745262"/>
      </left>
      <right/>
      <top style="thin">
        <color theme="7" tint="-0.499984740745262"/>
      </top>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7" tint="-0.499984740745262"/>
      </left>
      <right style="thin">
        <color theme="7" tint="-0.499984740745262"/>
      </right>
      <top/>
      <bottom style="thin">
        <color theme="7" tint="-0.499984740745262"/>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double">
        <color theme="7"/>
      </top>
      <bottom style="thin">
        <color theme="7" tint="0.3999755851924192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9" tint="0.39997558519241921"/>
      </right>
      <top style="thin">
        <color theme="7" tint="0.39997558519241921"/>
      </top>
      <bottom style="thin">
        <color theme="7" tint="0.39997558519241921"/>
      </bottom>
      <diagonal/>
    </border>
  </borders>
  <cellStyleXfs count="1">
    <xf numFmtId="0" fontId="0" fillId="0" borderId="0"/>
  </cellStyleXfs>
  <cellXfs count="344">
    <xf numFmtId="0" fontId="0" fillId="0" borderId="0" xfId="0"/>
    <xf numFmtId="0" fontId="0" fillId="0" borderId="0" xfId="0" applyAlignment="1">
      <alignment vertical="top" wrapText="1"/>
    </xf>
    <xf numFmtId="0" fontId="2" fillId="0" borderId="0" xfId="0" applyFont="1" applyFill="1" applyAlignment="1">
      <alignment vertical="top" wrapText="1"/>
    </xf>
    <xf numFmtId="0" fontId="0" fillId="0" borderId="0" xfId="0" applyAlignment="1">
      <alignment vertical="top"/>
    </xf>
    <xf numFmtId="0" fontId="3" fillId="0" borderId="0" xfId="0" applyFont="1" applyAlignment="1">
      <alignment vertical="top" wrapText="1"/>
    </xf>
    <xf numFmtId="0" fontId="5" fillId="0" borderId="0" xfId="0" applyFont="1" applyAlignment="1">
      <alignment vertical="top" wrapText="1"/>
    </xf>
    <xf numFmtId="0" fontId="1" fillId="2" borderId="0" xfId="0" applyFont="1" applyFill="1" applyAlignment="1">
      <alignment vertical="center" wrapText="1"/>
    </xf>
    <xf numFmtId="0" fontId="0" fillId="0" borderId="0" xfId="0" applyAlignment="1">
      <alignment vertical="center" wrapText="1"/>
    </xf>
    <xf numFmtId="0" fontId="6" fillId="0" borderId="0" xfId="0" applyFont="1" applyAlignment="1">
      <alignment vertical="top" wrapText="1"/>
    </xf>
    <xf numFmtId="0" fontId="0" fillId="0" borderId="0" xfId="0" applyAlignment="1">
      <alignment wrapText="1"/>
    </xf>
    <xf numFmtId="0" fontId="1" fillId="2" borderId="0" xfId="0" applyFont="1" applyFill="1" applyAlignment="1">
      <alignment horizontal="center" vertical="center"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center" vertical="top"/>
    </xf>
    <xf numFmtId="0" fontId="0" fillId="0" borderId="1" xfId="0" applyBorder="1" applyAlignment="1">
      <alignment horizontal="center" vertical="top" wrapText="1"/>
    </xf>
    <xf numFmtId="0" fontId="0" fillId="0" borderId="1" xfId="0" applyBorder="1" applyAlignment="1">
      <alignment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0" xfId="0" applyBorder="1" applyAlignment="1">
      <alignment horizontal="center" vertical="top" wrapText="1"/>
    </xf>
    <xf numFmtId="0" fontId="0" fillId="0" borderId="0" xfId="0" applyBorder="1" applyAlignment="1">
      <alignment vertical="top" wrapText="1"/>
    </xf>
    <xf numFmtId="0" fontId="0" fillId="0" borderId="0" xfId="0" applyFill="1"/>
    <xf numFmtId="0" fontId="0" fillId="0" borderId="0" xfId="0" applyFill="1" applyAlignment="1">
      <alignment vertical="top" wrapText="1"/>
    </xf>
    <xf numFmtId="0" fontId="0" fillId="0" borderId="0" xfId="0" applyFill="1" applyAlignment="1">
      <alignment vertical="top"/>
    </xf>
    <xf numFmtId="0" fontId="0" fillId="0" borderId="0" xfId="0" applyFill="1" applyBorder="1" applyAlignment="1">
      <alignment vertical="top" wrapText="1"/>
    </xf>
    <xf numFmtId="0" fontId="0" fillId="0" borderId="3" xfId="0" applyBorder="1" applyAlignment="1">
      <alignment horizontal="center" vertical="top" wrapText="1"/>
    </xf>
    <xf numFmtId="0" fontId="0" fillId="0" borderId="3" xfId="0" applyBorder="1" applyAlignment="1">
      <alignment vertical="top" wrapText="1"/>
    </xf>
    <xf numFmtId="0" fontId="0" fillId="0" borderId="3" xfId="0" applyBorder="1" applyAlignment="1">
      <alignment horizontal="center"/>
    </xf>
    <xf numFmtId="0" fontId="11" fillId="3" borderId="0" xfId="0" applyFont="1" applyFill="1" applyAlignment="1">
      <alignment horizontal="center" vertical="center" wrapText="1"/>
    </xf>
    <xf numFmtId="0" fontId="11" fillId="3" borderId="0" xfId="0" applyFont="1" applyFill="1" applyAlignment="1">
      <alignment vertical="center" wrapText="1"/>
    </xf>
    <xf numFmtId="0" fontId="12" fillId="4" borderId="0" xfId="0" applyFont="1" applyFill="1" applyAlignment="1">
      <alignment horizontal="center" vertical="center" wrapText="1"/>
    </xf>
    <xf numFmtId="0" fontId="12" fillId="4" borderId="0" xfId="0" applyFont="1" applyFill="1" applyAlignment="1">
      <alignment vertical="center" wrapText="1"/>
    </xf>
    <xf numFmtId="0" fontId="0" fillId="5" borderId="3" xfId="0" applyFont="1" applyFill="1" applyBorder="1" applyAlignment="1">
      <alignment horizontal="center" vertical="top" wrapText="1"/>
    </xf>
    <xf numFmtId="0" fontId="0" fillId="5" borderId="3" xfId="0" applyFont="1" applyFill="1" applyBorder="1" applyAlignment="1">
      <alignment vertical="top" wrapText="1"/>
    </xf>
    <xf numFmtId="0" fontId="0" fillId="0" borderId="3" xfId="0" applyFont="1" applyBorder="1" applyAlignment="1">
      <alignment horizontal="center" vertical="top" wrapText="1"/>
    </xf>
    <xf numFmtId="0" fontId="0" fillId="0" borderId="3" xfId="0" applyFont="1" applyBorder="1" applyAlignment="1">
      <alignment vertical="top" wrapText="1"/>
    </xf>
    <xf numFmtId="0" fontId="1" fillId="2" borderId="0" xfId="0" applyFont="1" applyFill="1" applyAlignment="1">
      <alignment horizontal="left" vertical="center"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11" fillId="3" borderId="0" xfId="0" applyFont="1" applyFill="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3" xfId="0" applyFont="1" applyBorder="1" applyAlignment="1">
      <alignment horizontal="left" vertical="top" wrapText="1"/>
    </xf>
    <xf numFmtId="0" fontId="0" fillId="0" borderId="3" xfId="0" applyBorder="1" applyAlignment="1">
      <alignment horizontal="center" vertical="top"/>
    </xf>
    <xf numFmtId="0" fontId="0" fillId="0" borderId="3" xfId="0" applyBorder="1" applyAlignment="1">
      <alignment vertical="top"/>
    </xf>
    <xf numFmtId="0" fontId="0" fillId="0" borderId="3" xfId="0" applyBorder="1" applyAlignment="1">
      <alignment horizontal="left" vertical="top"/>
    </xf>
    <xf numFmtId="17" fontId="0" fillId="0" borderId="3" xfId="0" applyNumberFormat="1" applyBorder="1" applyAlignment="1">
      <alignment vertical="top" wrapText="1"/>
    </xf>
    <xf numFmtId="6" fontId="0" fillId="5" borderId="3" xfId="0" applyNumberFormat="1" applyFont="1" applyFill="1" applyBorder="1" applyAlignment="1">
      <alignment vertical="top" wrapText="1"/>
    </xf>
    <xf numFmtId="6" fontId="0" fillId="0" borderId="3" xfId="0" applyNumberFormat="1" applyFont="1" applyBorder="1" applyAlignment="1">
      <alignment vertical="top" wrapText="1"/>
    </xf>
    <xf numFmtId="0" fontId="0" fillId="0" borderId="4" xfId="0" applyFont="1" applyBorder="1" applyAlignment="1">
      <alignment horizontal="center" vertical="top" wrapText="1"/>
    </xf>
    <xf numFmtId="0" fontId="0" fillId="0" borderId="4" xfId="0" applyFont="1" applyBorder="1" applyAlignment="1">
      <alignment vertical="top" wrapText="1"/>
    </xf>
    <xf numFmtId="6" fontId="0" fillId="0" borderId="4" xfId="0" applyNumberFormat="1" applyFont="1" applyBorder="1" applyAlignment="1">
      <alignment vertical="top" wrapText="1"/>
    </xf>
    <xf numFmtId="0" fontId="0" fillId="0" borderId="0" xfId="0" applyFill="1" applyAlignment="1">
      <alignment horizontal="center"/>
    </xf>
    <xf numFmtId="0" fontId="16" fillId="0" borderId="0" xfId="0" applyFont="1" applyFill="1" applyAlignment="1">
      <alignment horizontal="left"/>
    </xf>
    <xf numFmtId="0" fontId="17" fillId="0" borderId="0" xfId="0" applyFont="1" applyFill="1" applyAlignment="1">
      <alignment horizontal="left"/>
    </xf>
    <xf numFmtId="0" fontId="0" fillId="0" borderId="0" xfId="0" applyFill="1" applyAlignment="1">
      <alignment horizontal="left"/>
    </xf>
    <xf numFmtId="0" fontId="9" fillId="0" borderId="0" xfId="0" applyFont="1" applyFill="1" applyAlignment="1">
      <alignment horizontal="left"/>
    </xf>
    <xf numFmtId="0" fontId="18" fillId="0" borderId="0" xfId="0" applyFont="1" applyFill="1" applyAlignment="1">
      <alignment horizontal="left"/>
    </xf>
    <xf numFmtId="49" fontId="19" fillId="0" borderId="0" xfId="0" applyNumberFormat="1" applyFont="1" applyFill="1" applyAlignment="1">
      <alignment horizontal="left"/>
    </xf>
    <xf numFmtId="0" fontId="9" fillId="0" borderId="0" xfId="0" applyFont="1" applyFill="1" applyAlignment="1"/>
    <xf numFmtId="0" fontId="20" fillId="6" borderId="0" xfId="0" applyFont="1" applyFill="1" applyAlignment="1">
      <alignment horizontal="center" vertical="center" wrapText="1"/>
    </xf>
    <xf numFmtId="0" fontId="20" fillId="6" borderId="0" xfId="0" applyFont="1" applyFill="1" applyAlignment="1">
      <alignment vertical="center" wrapText="1"/>
    </xf>
    <xf numFmtId="0" fontId="20" fillId="6" borderId="0" xfId="0" applyFont="1" applyFill="1" applyAlignment="1">
      <alignment horizontal="left" vertical="center" wrapText="1"/>
    </xf>
    <xf numFmtId="0" fontId="14" fillId="0" borderId="0" xfId="0" applyFont="1" applyAlignment="1"/>
    <xf numFmtId="0" fontId="15" fillId="0" borderId="0" xfId="0" applyFont="1" applyAlignment="1"/>
    <xf numFmtId="0" fontId="0" fillId="0" borderId="5" xfId="0" applyBorder="1" applyAlignment="1">
      <alignment horizontal="center" vertical="top" wrapText="1"/>
    </xf>
    <xf numFmtId="0" fontId="0" fillId="0" borderId="5" xfId="0" applyBorder="1" applyAlignment="1">
      <alignment vertical="top" wrapText="1"/>
    </xf>
    <xf numFmtId="0" fontId="0" fillId="0" borderId="5" xfId="0" applyBorder="1" applyAlignment="1">
      <alignment horizontal="left" vertical="top" wrapText="1"/>
    </xf>
    <xf numFmtId="17" fontId="0" fillId="0" borderId="5" xfId="0" applyNumberFormat="1" applyBorder="1" applyAlignment="1">
      <alignment vertical="top" wrapText="1"/>
    </xf>
    <xf numFmtId="0" fontId="0" fillId="0" borderId="6" xfId="0" applyBorder="1" applyAlignment="1">
      <alignment horizontal="center" vertical="top" wrapText="1"/>
    </xf>
    <xf numFmtId="0" fontId="0" fillId="0" borderId="6" xfId="0" applyBorder="1" applyAlignment="1">
      <alignment vertical="top" wrapText="1"/>
    </xf>
    <xf numFmtId="6" fontId="0" fillId="0" borderId="5" xfId="0" applyNumberFormat="1" applyBorder="1" applyAlignment="1">
      <alignment vertical="top" wrapText="1"/>
    </xf>
    <xf numFmtId="0" fontId="3" fillId="0" borderId="1" xfId="0" applyFont="1" applyBorder="1" applyAlignment="1">
      <alignment vertical="top" wrapText="1"/>
    </xf>
    <xf numFmtId="6" fontId="3" fillId="5" borderId="3" xfId="0" applyNumberFormat="1" applyFont="1" applyFill="1" applyBorder="1" applyAlignment="1">
      <alignment vertical="top" wrapText="1"/>
    </xf>
    <xf numFmtId="0" fontId="3" fillId="0" borderId="5" xfId="0" applyFont="1" applyBorder="1" applyAlignment="1">
      <alignment vertical="top" wrapText="1"/>
    </xf>
    <xf numFmtId="0" fontId="21" fillId="0" borderId="0" xfId="0" applyFont="1" applyAlignment="1"/>
    <xf numFmtId="0" fontId="22" fillId="0" borderId="0" xfId="0" applyFont="1" applyAlignment="1"/>
    <xf numFmtId="0" fontId="0" fillId="0" borderId="7" xfId="0" applyBorder="1" applyAlignment="1">
      <alignment horizontal="center" vertical="top" wrapText="1"/>
    </xf>
    <xf numFmtId="0" fontId="0" fillId="0" borderId="8" xfId="0" applyBorder="1" applyAlignment="1">
      <alignment horizontal="left" vertical="top" wrapText="1"/>
    </xf>
    <xf numFmtId="0" fontId="0" fillId="0" borderId="9" xfId="0" applyBorder="1" applyAlignment="1">
      <alignment horizontal="center" vertical="top" wrapText="1"/>
    </xf>
    <xf numFmtId="0" fontId="0" fillId="0" borderId="10" xfId="0" applyBorder="1" applyAlignment="1">
      <alignment horizontal="left" vertical="top" wrapText="1"/>
    </xf>
    <xf numFmtId="0" fontId="12" fillId="4" borderId="0" xfId="0" applyFont="1" applyFill="1" applyBorder="1" applyAlignment="1">
      <alignment horizontal="center" vertical="center" wrapText="1"/>
    </xf>
    <xf numFmtId="0" fontId="1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23" fillId="0" borderId="0" xfId="0" applyFont="1" applyAlignment="1"/>
    <xf numFmtId="0" fontId="24" fillId="0" borderId="0" xfId="0" applyFont="1" applyAlignment="1"/>
    <xf numFmtId="0" fontId="25" fillId="7" borderId="0" xfId="0" applyFont="1" applyFill="1" applyBorder="1" applyAlignment="1">
      <alignment horizontal="center" vertical="center" wrapText="1"/>
    </xf>
    <xf numFmtId="0" fontId="25" fillId="7" borderId="0" xfId="0" applyFont="1" applyFill="1" applyBorder="1" applyAlignment="1">
      <alignment vertical="center" wrapText="1"/>
    </xf>
    <xf numFmtId="0" fontId="25" fillId="7" borderId="0" xfId="0" applyFont="1" applyFill="1" applyBorder="1" applyAlignment="1">
      <alignment horizontal="left" vertical="center" wrapText="1"/>
    </xf>
    <xf numFmtId="0" fontId="26" fillId="0" borderId="0" xfId="0" applyFont="1" applyAlignment="1"/>
    <xf numFmtId="0" fontId="27" fillId="0" borderId="0" xfId="0" applyFont="1" applyAlignment="1"/>
    <xf numFmtId="0" fontId="25" fillId="8" borderId="0" xfId="0" applyFont="1" applyFill="1" applyBorder="1" applyAlignment="1">
      <alignment horizontal="center" vertical="center" wrapText="1"/>
    </xf>
    <xf numFmtId="0" fontId="25" fillId="8" borderId="0" xfId="0" applyFont="1" applyFill="1" applyBorder="1" applyAlignment="1">
      <alignment vertical="center" wrapText="1"/>
    </xf>
    <xf numFmtId="0" fontId="25" fillId="8" borderId="0" xfId="0" applyFont="1" applyFill="1" applyBorder="1" applyAlignment="1">
      <alignment horizontal="left" vertical="center" wrapText="1"/>
    </xf>
    <xf numFmtId="0" fontId="0" fillId="0" borderId="0" xfId="0" applyFont="1"/>
    <xf numFmtId="0" fontId="3" fillId="0" borderId="0" xfId="0" applyFont="1"/>
    <xf numFmtId="0" fontId="28" fillId="0" borderId="0" xfId="0" applyFont="1" applyFill="1" applyAlignment="1">
      <alignment horizontal="left"/>
    </xf>
    <xf numFmtId="0" fontId="29" fillId="0" borderId="0" xfId="0" applyFont="1" applyFill="1" applyAlignment="1">
      <alignment horizontal="left"/>
    </xf>
    <xf numFmtId="0" fontId="30" fillId="0" borderId="0" xfId="0" applyFont="1" applyAlignment="1"/>
    <xf numFmtId="0" fontId="31" fillId="0" borderId="0" xfId="0" applyFont="1" applyAlignment="1"/>
    <xf numFmtId="0" fontId="32" fillId="0" borderId="0" xfId="0" applyFont="1" applyAlignment="1"/>
    <xf numFmtId="0" fontId="33" fillId="0" borderId="0" xfId="0" applyFont="1" applyAlignment="1"/>
    <xf numFmtId="0" fontId="3" fillId="0" borderId="0" xfId="0" applyFont="1" applyFill="1" applyAlignment="1">
      <alignment vertical="top"/>
    </xf>
    <xf numFmtId="0" fontId="3" fillId="0" borderId="0" xfId="0" applyFont="1" applyAlignment="1">
      <alignment vertical="top"/>
    </xf>
    <xf numFmtId="0" fontId="34" fillId="0" borderId="0" xfId="0" applyFont="1" applyFill="1" applyAlignment="1">
      <alignment vertical="top"/>
    </xf>
    <xf numFmtId="0" fontId="36" fillId="0" borderId="0" xfId="0" applyFont="1" applyAlignment="1">
      <alignment vertical="top"/>
    </xf>
    <xf numFmtId="0" fontId="35" fillId="10" borderId="11" xfId="0" applyFont="1" applyFill="1" applyBorder="1" applyAlignment="1">
      <alignment vertical="center"/>
    </xf>
    <xf numFmtId="0" fontId="0" fillId="0" borderId="0" xfId="0" applyAlignment="1">
      <alignment vertical="center"/>
    </xf>
    <xf numFmtId="0" fontId="0" fillId="0" borderId="1" xfId="0" applyFont="1" applyBorder="1" applyAlignment="1">
      <alignment horizontal="left" vertical="top" wrapText="1"/>
    </xf>
    <xf numFmtId="0" fontId="0" fillId="0" borderId="3" xfId="0" applyFont="1" applyBorder="1" applyAlignment="1">
      <alignment horizontal="center"/>
    </xf>
    <xf numFmtId="0" fontId="0" fillId="0" borderId="3" xfId="0" applyFont="1" applyBorder="1" applyAlignment="1">
      <alignment horizontal="left"/>
    </xf>
    <xf numFmtId="0" fontId="0" fillId="0" borderId="5" xfId="0" applyFont="1" applyBorder="1" applyAlignment="1">
      <alignment horizontal="left" vertical="top" wrapText="1"/>
    </xf>
    <xf numFmtId="0" fontId="0" fillId="0" borderId="1" xfId="0" applyFill="1" applyBorder="1" applyAlignment="1">
      <alignment horizontal="center" vertical="top" wrapText="1"/>
    </xf>
    <xf numFmtId="0" fontId="0" fillId="0" borderId="2" xfId="0" applyFill="1" applyBorder="1" applyAlignment="1">
      <alignment horizontal="center" vertical="top" wrapText="1"/>
    </xf>
    <xf numFmtId="0" fontId="0" fillId="0" borderId="0" xfId="0" applyFill="1" applyAlignment="1">
      <alignment horizontal="left" vertical="top"/>
    </xf>
    <xf numFmtId="0" fontId="10" fillId="0" borderId="0" xfId="0" applyFont="1" applyFill="1" applyAlignment="1">
      <alignment horizontal="left"/>
    </xf>
    <xf numFmtId="0" fontId="3" fillId="0" borderId="0" xfId="0" applyFont="1" applyFill="1"/>
    <xf numFmtId="0" fontId="0" fillId="5" borderId="3" xfId="0" applyFont="1" applyFill="1" applyBorder="1" applyAlignment="1">
      <alignment horizontal="center"/>
    </xf>
    <xf numFmtId="0" fontId="0" fillId="5" borderId="3" xfId="0" applyFont="1" applyFill="1" applyBorder="1" applyAlignment="1">
      <alignment horizontal="left"/>
    </xf>
    <xf numFmtId="0" fontId="0" fillId="0" borderId="4" xfId="0" applyFont="1" applyBorder="1" applyAlignment="1">
      <alignment horizontal="center"/>
    </xf>
    <xf numFmtId="0" fontId="0" fillId="0" borderId="4" xfId="0" applyBorder="1" applyAlignment="1">
      <alignment horizontal="center" vertical="top" wrapText="1"/>
    </xf>
    <xf numFmtId="0" fontId="0" fillId="0" borderId="4" xfId="0" applyFont="1" applyBorder="1" applyAlignment="1">
      <alignment horizontal="left"/>
    </xf>
    <xf numFmtId="0" fontId="0" fillId="0" borderId="6" xfId="0" applyBorder="1" applyAlignment="1">
      <alignment horizontal="left" vertical="top" wrapText="1"/>
    </xf>
    <xf numFmtId="6" fontId="0" fillId="0" borderId="6" xfId="0" applyNumberFormat="1" applyBorder="1" applyAlignment="1">
      <alignment vertical="top" wrapText="1"/>
    </xf>
    <xf numFmtId="49" fontId="9" fillId="0" borderId="0" xfId="0" applyNumberFormat="1" applyFont="1" applyFill="1" applyAlignment="1">
      <alignment horizontal="left"/>
    </xf>
    <xf numFmtId="0" fontId="0" fillId="0" borderId="5" xfId="0" applyFill="1" applyBorder="1" applyAlignment="1">
      <alignment horizontal="center" vertical="top" wrapText="1"/>
    </xf>
    <xf numFmtId="0" fontId="3" fillId="0" borderId="0" xfId="0" applyFont="1" applyAlignment="1">
      <alignment horizontal="left"/>
    </xf>
    <xf numFmtId="0" fontId="37" fillId="0" borderId="0" xfId="0" applyFont="1" applyFill="1"/>
    <xf numFmtId="0" fontId="38" fillId="0" borderId="0" xfId="0" applyFont="1" applyAlignment="1">
      <alignment horizontal="left"/>
    </xf>
    <xf numFmtId="0" fontId="6" fillId="0" borderId="1" xfId="0" applyFont="1" applyBorder="1" applyAlignment="1">
      <alignment horizontal="left" vertical="top" wrapText="1"/>
    </xf>
    <xf numFmtId="0" fontId="6" fillId="9" borderId="0" xfId="0" applyFont="1" applyFill="1" applyAlignment="1">
      <alignment vertical="top" wrapText="1"/>
    </xf>
    <xf numFmtId="0" fontId="6" fillId="9" borderId="0" xfId="0" applyFont="1" applyFill="1" applyAlignment="1">
      <alignment vertical="top"/>
    </xf>
    <xf numFmtId="0" fontId="6" fillId="9" borderId="14" xfId="0" applyFont="1" applyFill="1" applyBorder="1" applyAlignment="1">
      <alignment horizontal="center" vertical="top" wrapText="1"/>
    </xf>
    <xf numFmtId="0" fontId="6" fillId="9" borderId="5" xfId="0" applyFont="1" applyFill="1" applyBorder="1" applyAlignment="1">
      <alignment horizontal="center" vertical="top" wrapText="1"/>
    </xf>
    <xf numFmtId="0" fontId="6" fillId="9" borderId="6" xfId="0" applyFont="1" applyFill="1" applyBorder="1" applyAlignment="1">
      <alignment horizontal="center" vertical="top" wrapText="1"/>
    </xf>
    <xf numFmtId="0" fontId="13" fillId="0" borderId="0" xfId="0" quotePrefix="1" applyFont="1"/>
    <xf numFmtId="0" fontId="9" fillId="0" borderId="0" xfId="0" applyFont="1"/>
    <xf numFmtId="0" fontId="41" fillId="0" borderId="0" xfId="0" applyFont="1" applyAlignment="1">
      <alignment vertical="center" wrapText="1"/>
    </xf>
    <xf numFmtId="0" fontId="41" fillId="0" borderId="11" xfId="0" applyFont="1" applyBorder="1" applyAlignment="1">
      <alignment vertical="center" wrapText="1"/>
    </xf>
    <xf numFmtId="0" fontId="0" fillId="0" borderId="3" xfId="0" applyFont="1" applyBorder="1" applyAlignment="1">
      <alignment horizontal="center" vertical="top"/>
    </xf>
    <xf numFmtId="0" fontId="0" fillId="5" borderId="3" xfId="0" applyFont="1" applyFill="1" applyBorder="1" applyAlignment="1">
      <alignment horizontal="center" vertical="top"/>
    </xf>
    <xf numFmtId="0" fontId="0" fillId="0" borderId="4" xfId="0" applyFont="1" applyBorder="1" applyAlignment="1">
      <alignment horizontal="center" vertical="top"/>
    </xf>
    <xf numFmtId="9" fontId="0" fillId="0" borderId="0" xfId="0" applyNumberFormat="1" applyAlignment="1">
      <alignment horizontal="center"/>
    </xf>
    <xf numFmtId="0" fontId="10" fillId="0" borderId="0" xfId="0" applyFont="1" applyAlignment="1">
      <alignment horizontal="center"/>
    </xf>
    <xf numFmtId="0" fontId="40" fillId="10" borderId="18" xfId="0" applyFont="1" applyFill="1" applyBorder="1" applyAlignment="1">
      <alignment horizontal="center"/>
    </xf>
    <xf numFmtId="0" fontId="35" fillId="10" borderId="18" xfId="0" applyFont="1" applyFill="1" applyBorder="1"/>
    <xf numFmtId="0" fontId="0" fillId="12" borderId="18" xfId="0" applyFill="1" applyBorder="1" applyAlignment="1">
      <alignment horizontal="center" vertical="center"/>
    </xf>
    <xf numFmtId="0" fontId="40" fillId="10" borderId="18" xfId="0" applyFont="1" applyFill="1" applyBorder="1" applyAlignment="1">
      <alignment horizontal="left"/>
    </xf>
    <xf numFmtId="0" fontId="39" fillId="10" borderId="18" xfId="0" applyFont="1" applyFill="1" applyBorder="1" applyAlignment="1">
      <alignment horizontal="left"/>
    </xf>
    <xf numFmtId="0" fontId="13" fillId="12" borderId="18" xfId="0" applyFont="1" applyFill="1" applyBorder="1" applyAlignment="1">
      <alignment horizontal="center" vertical="center"/>
    </xf>
    <xf numFmtId="0" fontId="0" fillId="15" borderId="18" xfId="0" applyFill="1" applyBorder="1" applyAlignment="1">
      <alignment horizontal="center" vertical="center"/>
    </xf>
    <xf numFmtId="0" fontId="0" fillId="12" borderId="18" xfId="0" applyFill="1" applyBorder="1" applyAlignment="1">
      <alignment horizontal="left" vertical="center"/>
    </xf>
    <xf numFmtId="0" fontId="0" fillId="12" borderId="18" xfId="0" applyFill="1" applyBorder="1" applyAlignment="1">
      <alignment horizontal="left" vertical="center" wrapText="1"/>
    </xf>
    <xf numFmtId="0" fontId="0" fillId="11" borderId="18" xfId="0" applyFont="1" applyFill="1" applyBorder="1" applyAlignment="1">
      <alignment horizontal="left" vertical="center" wrapText="1"/>
    </xf>
    <xf numFmtId="0" fontId="0" fillId="0" borderId="0" xfId="0" applyAlignment="1">
      <alignment horizontal="left" vertical="center"/>
    </xf>
    <xf numFmtId="0" fontId="43" fillId="12" borderId="18" xfId="0" applyFont="1" applyFill="1" applyBorder="1" applyAlignment="1">
      <alignment horizontal="left" vertical="center"/>
    </xf>
    <xf numFmtId="0" fontId="13" fillId="0" borderId="0" xfId="0" applyFont="1" applyAlignment="1">
      <alignment horizontal="left" vertical="center"/>
    </xf>
    <xf numFmtId="0" fontId="0" fillId="15" borderId="1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43" fillId="15" borderId="18" xfId="0" applyFont="1" applyFill="1" applyBorder="1" applyAlignment="1">
      <alignment horizontal="left" vertical="center"/>
    </xf>
    <xf numFmtId="0" fontId="0" fillId="0" borderId="18" xfId="0" applyBorder="1" applyAlignment="1">
      <alignment horizontal="left" vertical="center"/>
    </xf>
    <xf numFmtId="0" fontId="35" fillId="10" borderId="18" xfId="0" applyFont="1" applyFill="1" applyBorder="1" applyAlignment="1">
      <alignment horizontal="center" vertical="center"/>
    </xf>
    <xf numFmtId="0" fontId="0" fillId="0" borderId="0" xfId="0" applyAlignment="1">
      <alignment horizontal="center" vertical="center"/>
    </xf>
    <xf numFmtId="0" fontId="13" fillId="15" borderId="18" xfId="0" applyFont="1" applyFill="1" applyBorder="1" applyAlignment="1">
      <alignment horizontal="center" vertical="center"/>
    </xf>
    <xf numFmtId="0" fontId="0" fillId="14" borderId="18" xfId="0" applyFill="1" applyBorder="1" applyAlignment="1">
      <alignment horizontal="center" vertical="center"/>
    </xf>
    <xf numFmtId="0" fontId="0" fillId="14" borderId="18" xfId="0" applyFill="1" applyBorder="1" applyAlignment="1">
      <alignment horizontal="left" vertical="center"/>
    </xf>
    <xf numFmtId="0" fontId="2" fillId="14" borderId="18" xfId="0" applyFont="1" applyFill="1" applyBorder="1" applyAlignment="1">
      <alignment horizontal="center" vertical="center"/>
    </xf>
    <xf numFmtId="0" fontId="2" fillId="15" borderId="18" xfId="0" applyFont="1" applyFill="1" applyBorder="1" applyAlignment="1">
      <alignment horizontal="center" vertical="center"/>
    </xf>
    <xf numFmtId="0" fontId="2" fillId="5" borderId="18" xfId="0" applyFont="1" applyFill="1" applyBorder="1" applyAlignment="1">
      <alignment horizontal="left" vertical="center" wrapText="1"/>
    </xf>
    <xf numFmtId="0" fontId="2" fillId="15" borderId="18" xfId="0" applyFont="1" applyFill="1" applyBorder="1" applyAlignment="1">
      <alignment horizontal="left" vertical="center" wrapText="1"/>
    </xf>
    <xf numFmtId="0" fontId="46" fillId="0" borderId="0" xfId="0" applyFont="1" applyFill="1" applyAlignment="1">
      <alignment vertical="top"/>
    </xf>
    <xf numFmtId="0" fontId="28" fillId="13" borderId="19" xfId="0" applyFont="1" applyFill="1" applyBorder="1" applyAlignment="1">
      <alignment horizontal="left"/>
    </xf>
    <xf numFmtId="0" fontId="29" fillId="0" borderId="19" xfId="0" applyFont="1" applyBorder="1" applyAlignment="1">
      <alignment horizontal="left"/>
    </xf>
    <xf numFmtId="0" fontId="30" fillId="13" borderId="19" xfId="0" applyFont="1" applyFill="1" applyBorder="1" applyAlignment="1"/>
    <xf numFmtId="0" fontId="31" fillId="0" borderId="19" xfId="0" applyFont="1" applyBorder="1" applyAlignment="1"/>
    <xf numFmtId="0" fontId="32" fillId="13" borderId="19" xfId="0" applyFont="1" applyFill="1" applyBorder="1" applyAlignment="1"/>
    <xf numFmtId="0" fontId="33" fillId="0" borderId="19" xfId="0" applyFont="1" applyBorder="1" applyAlignment="1"/>
    <xf numFmtId="9" fontId="0" fillId="0" borderId="20" xfId="0" applyNumberFormat="1" applyFont="1" applyBorder="1" applyAlignment="1">
      <alignment horizontal="center"/>
    </xf>
    <xf numFmtId="0" fontId="0" fillId="20" borderId="18" xfId="0" applyFill="1" applyBorder="1" applyAlignment="1">
      <alignment horizontal="center" vertical="center"/>
    </xf>
    <xf numFmtId="0" fontId="0" fillId="20" borderId="18" xfId="0" applyFill="1" applyBorder="1" applyAlignment="1">
      <alignment horizontal="left" vertical="center"/>
    </xf>
    <xf numFmtId="0" fontId="43" fillId="20" borderId="18" xfId="0" applyFont="1" applyFill="1" applyBorder="1" applyAlignment="1">
      <alignment horizontal="left" vertical="center"/>
    </xf>
    <xf numFmtId="0" fontId="45" fillId="20" borderId="18" xfId="0" applyFont="1" applyFill="1" applyBorder="1" applyAlignment="1">
      <alignment horizontal="center" vertical="center"/>
    </xf>
    <xf numFmtId="0" fontId="0" fillId="14" borderId="21" xfId="0" applyFill="1" applyBorder="1" applyAlignment="1">
      <alignment horizontal="center" vertical="center"/>
    </xf>
    <xf numFmtId="0" fontId="43" fillId="14" borderId="21" xfId="0" applyFont="1" applyFill="1" applyBorder="1" applyAlignment="1">
      <alignment horizontal="left" vertical="center"/>
    </xf>
    <xf numFmtId="0" fontId="32" fillId="16" borderId="18" xfId="0" applyFont="1" applyFill="1" applyBorder="1" applyAlignment="1">
      <alignment horizontal="left" vertical="center"/>
    </xf>
    <xf numFmtId="0" fontId="33" fillId="21" borderId="18" xfId="0" applyFont="1" applyFill="1" applyBorder="1" applyAlignment="1">
      <alignment horizontal="left" vertical="center"/>
    </xf>
    <xf numFmtId="0" fontId="0" fillId="16" borderId="18" xfId="0" applyFill="1" applyBorder="1" applyAlignment="1">
      <alignment horizontal="center" vertical="center"/>
    </xf>
    <xf numFmtId="0" fontId="0" fillId="21" borderId="18" xfId="0" applyFill="1" applyBorder="1" applyAlignment="1">
      <alignment horizontal="center" vertical="center"/>
    </xf>
    <xf numFmtId="0" fontId="0" fillId="20" borderId="18" xfId="0" applyFont="1" applyFill="1" applyBorder="1" applyAlignment="1">
      <alignment vertical="center" wrapText="1"/>
    </xf>
    <xf numFmtId="0" fontId="0" fillId="14" borderId="18" xfId="0" applyFont="1" applyFill="1" applyBorder="1" applyAlignment="1">
      <alignment vertical="center" wrapText="1"/>
    </xf>
    <xf numFmtId="0" fontId="0" fillId="13" borderId="18" xfId="0" applyFont="1" applyFill="1" applyBorder="1" applyAlignment="1">
      <alignment vertical="center" wrapText="1"/>
    </xf>
    <xf numFmtId="0" fontId="2" fillId="14" borderId="18" xfId="0" applyFont="1" applyFill="1" applyBorder="1" applyAlignment="1">
      <alignment vertical="center" wrapText="1"/>
    </xf>
    <xf numFmtId="0" fontId="2" fillId="13" borderId="18" xfId="0" applyFont="1" applyFill="1" applyBorder="1" applyAlignment="1">
      <alignment vertical="center" wrapText="1"/>
    </xf>
    <xf numFmtId="0" fontId="0" fillId="17" borderId="18" xfId="0" applyFont="1" applyFill="1" applyBorder="1" applyAlignment="1">
      <alignment vertical="center" wrapText="1"/>
    </xf>
    <xf numFmtId="0" fontId="0" fillId="16" borderId="18" xfId="0" applyFill="1" applyBorder="1" applyAlignment="1">
      <alignment vertical="center"/>
    </xf>
    <xf numFmtId="0" fontId="0" fillId="18" borderId="18" xfId="0" applyFont="1" applyFill="1" applyBorder="1" applyAlignment="1">
      <alignment vertical="center" wrapText="1"/>
    </xf>
    <xf numFmtId="0" fontId="0" fillId="16" borderId="18" xfId="0" applyFont="1" applyFill="1" applyBorder="1" applyAlignment="1">
      <alignment vertical="center" wrapText="1"/>
    </xf>
    <xf numFmtId="0" fontId="0" fillId="21" borderId="18" xfId="0" applyFill="1" applyBorder="1" applyAlignment="1">
      <alignment vertical="center"/>
    </xf>
    <xf numFmtId="6" fontId="0" fillId="10" borderId="18" xfId="0" applyNumberFormat="1" applyFont="1" applyFill="1" applyBorder="1" applyAlignment="1">
      <alignment horizontal="left" vertical="center"/>
    </xf>
    <xf numFmtId="6" fontId="3" fillId="10" borderId="18" xfId="0" applyNumberFormat="1" applyFont="1" applyFill="1" applyBorder="1" applyAlignment="1">
      <alignment horizontal="left" vertical="center"/>
    </xf>
    <xf numFmtId="6" fontId="6" fillId="10" borderId="18" xfId="0" applyNumberFormat="1" applyFont="1" applyFill="1" applyBorder="1" applyAlignment="1">
      <alignment horizontal="left" vertical="center"/>
    </xf>
    <xf numFmtId="6" fontId="7" fillId="10" borderId="18" xfId="0" applyNumberFormat="1" applyFont="1" applyFill="1" applyBorder="1" applyAlignment="1">
      <alignment horizontal="left" vertical="center"/>
    </xf>
    <xf numFmtId="6" fontId="3" fillId="10" borderId="21" xfId="0" applyNumberFormat="1" applyFont="1" applyFill="1" applyBorder="1" applyAlignment="1">
      <alignment horizontal="left" vertical="center"/>
    </xf>
    <xf numFmtId="0" fontId="0" fillId="10" borderId="18" xfId="0" applyFont="1" applyFill="1" applyBorder="1" applyAlignment="1">
      <alignment horizontal="left" vertical="center"/>
    </xf>
    <xf numFmtId="0" fontId="0" fillId="10" borderId="18" xfId="0" applyFont="1" applyFill="1" applyBorder="1"/>
    <xf numFmtId="0" fontId="0" fillId="0" borderId="2" xfId="0" applyFont="1" applyBorder="1" applyAlignment="1">
      <alignment vertical="top" wrapText="1"/>
    </xf>
    <xf numFmtId="0" fontId="10" fillId="0" borderId="0" xfId="0" applyFont="1" applyAlignment="1">
      <alignment horizontal="left"/>
    </xf>
    <xf numFmtId="0" fontId="6" fillId="0" borderId="5" xfId="0" applyFont="1" applyBorder="1" applyAlignment="1">
      <alignment horizontal="center" vertical="top" wrapText="1"/>
    </xf>
    <xf numFmtId="0" fontId="6" fillId="0" borderId="14" xfId="0" applyFont="1" applyBorder="1" applyAlignment="1">
      <alignment horizontal="center" vertical="top" wrapText="1"/>
    </xf>
    <xf numFmtId="0" fontId="6" fillId="0" borderId="6" xfId="0" applyFont="1" applyBorder="1" applyAlignment="1">
      <alignment horizontal="center" vertical="top" wrapText="1"/>
    </xf>
    <xf numFmtId="0" fontId="48" fillId="6" borderId="0" xfId="0" applyFont="1" applyFill="1"/>
    <xf numFmtId="0" fontId="49" fillId="4" borderId="0" xfId="0" applyFont="1" applyFill="1"/>
    <xf numFmtId="0" fontId="47" fillId="7" borderId="0" xfId="0" applyFont="1" applyFill="1"/>
    <xf numFmtId="0" fontId="47" fillId="8" borderId="0" xfId="0" applyFont="1" applyFill="1"/>
    <xf numFmtId="0" fontId="41" fillId="0" borderId="11" xfId="0" applyFont="1" applyBorder="1" applyAlignment="1">
      <alignment horizontal="center" vertical="center" textRotation="90" wrapText="1"/>
    </xf>
    <xf numFmtId="0" fontId="41" fillId="0" borderId="0" xfId="0" applyFont="1" applyAlignment="1">
      <alignment horizontal="center" vertical="center" textRotation="90" wrapText="1"/>
    </xf>
    <xf numFmtId="0" fontId="41" fillId="23" borderId="11" xfId="0" applyFont="1" applyFill="1" applyBorder="1" applyAlignment="1">
      <alignment horizontal="center" vertical="center" textRotation="90" wrapText="1"/>
    </xf>
    <xf numFmtId="0" fontId="41" fillId="19" borderId="11" xfId="0" applyFont="1" applyFill="1" applyBorder="1" applyAlignment="1">
      <alignment horizontal="center" vertical="center" textRotation="90" wrapText="1"/>
    </xf>
    <xf numFmtId="0" fontId="41" fillId="22" borderId="11" xfId="0" applyFont="1" applyFill="1" applyBorder="1" applyAlignment="1">
      <alignment horizontal="center" vertical="center" textRotation="90" wrapText="1"/>
    </xf>
    <xf numFmtId="0" fontId="41" fillId="25" borderId="11" xfId="0" applyFont="1" applyFill="1" applyBorder="1" applyAlignment="1">
      <alignment horizontal="center" vertical="center" textRotation="90" wrapText="1"/>
    </xf>
    <xf numFmtId="0" fontId="3" fillId="24" borderId="0" xfId="0" applyFont="1" applyFill="1" applyAlignment="1">
      <alignment horizontal="center" wrapText="1"/>
    </xf>
    <xf numFmtId="0" fontId="3" fillId="15" borderId="0" xfId="0" applyFont="1" applyFill="1" applyAlignment="1">
      <alignment horizontal="center"/>
    </xf>
    <xf numFmtId="0" fontId="0" fillId="0" borderId="0" xfId="0" applyAlignment="1">
      <alignment horizontal="center" wrapText="1"/>
    </xf>
    <xf numFmtId="0" fontId="0" fillId="10" borderId="0" xfId="0" applyFill="1" applyAlignment="1">
      <alignment horizontal="center" vertical="center" wrapText="1"/>
    </xf>
    <xf numFmtId="0" fontId="0" fillId="10" borderId="0" xfId="0" applyFill="1" applyAlignment="1">
      <alignment horizontal="left" vertical="center" wrapText="1"/>
    </xf>
    <xf numFmtId="0" fontId="0" fillId="0" borderId="0" xfId="0" applyAlignment="1">
      <alignment horizontal="center" vertical="center" wrapText="1"/>
    </xf>
    <xf numFmtId="0" fontId="42" fillId="19" borderId="11" xfId="0" applyFont="1" applyFill="1" applyBorder="1" applyAlignment="1">
      <alignment horizontal="left" vertical="center" wrapText="1"/>
    </xf>
    <xf numFmtId="0" fontId="35" fillId="10" borderId="18" xfId="0" applyFont="1" applyFill="1" applyBorder="1" applyAlignment="1">
      <alignment horizontal="right"/>
    </xf>
    <xf numFmtId="6" fontId="0" fillId="12" borderId="18" xfId="0" applyNumberFormat="1" applyFont="1" applyFill="1" applyBorder="1" applyAlignment="1">
      <alignment horizontal="right" vertical="center"/>
    </xf>
    <xf numFmtId="6" fontId="3" fillId="12" borderId="18" xfId="0" applyNumberFormat="1" applyFont="1" applyFill="1" applyBorder="1" applyAlignment="1">
      <alignment horizontal="right" vertical="center"/>
    </xf>
    <xf numFmtId="6" fontId="6" fillId="15" borderId="18" xfId="0" applyNumberFormat="1" applyFont="1" applyFill="1" applyBorder="1" applyAlignment="1">
      <alignment horizontal="right" vertical="center"/>
    </xf>
    <xf numFmtId="6" fontId="0" fillId="15" borderId="18" xfId="0" applyNumberFormat="1" applyFont="1" applyFill="1" applyBorder="1" applyAlignment="1">
      <alignment horizontal="right" vertical="center"/>
    </xf>
    <xf numFmtId="6" fontId="3" fillId="15" borderId="18" xfId="0" applyNumberFormat="1" applyFont="1" applyFill="1" applyBorder="1" applyAlignment="1">
      <alignment horizontal="right" vertical="center"/>
    </xf>
    <xf numFmtId="6" fontId="0" fillId="16" borderId="18" xfId="0" applyNumberFormat="1" applyFont="1" applyFill="1" applyBorder="1" applyAlignment="1">
      <alignment horizontal="right" vertical="center"/>
    </xf>
    <xf numFmtId="6" fontId="0" fillId="14" borderId="18" xfId="0" applyNumberFormat="1" applyFont="1" applyFill="1" applyBorder="1" applyAlignment="1">
      <alignment horizontal="right" vertical="center"/>
    </xf>
    <xf numFmtId="6" fontId="6" fillId="14" borderId="18" xfId="0" applyNumberFormat="1" applyFont="1" applyFill="1" applyBorder="1" applyAlignment="1">
      <alignment horizontal="right" vertical="center"/>
    </xf>
    <xf numFmtId="6" fontId="7" fillId="14" borderId="18" xfId="0" applyNumberFormat="1" applyFont="1" applyFill="1" applyBorder="1" applyAlignment="1">
      <alignment horizontal="right" vertical="center"/>
    </xf>
    <xf numFmtId="6" fontId="3" fillId="14" borderId="21" xfId="0" applyNumberFormat="1" applyFont="1" applyFill="1" applyBorder="1" applyAlignment="1">
      <alignment horizontal="right" vertical="center"/>
    </xf>
    <xf numFmtId="6" fontId="0" fillId="20" borderId="18" xfId="0" applyNumberFormat="1" applyFont="1" applyFill="1" applyBorder="1" applyAlignment="1">
      <alignment horizontal="right" vertical="center"/>
    </xf>
    <xf numFmtId="0" fontId="0" fillId="20" borderId="18" xfId="0" applyFont="1" applyFill="1" applyBorder="1" applyAlignment="1">
      <alignment horizontal="right" vertical="center"/>
    </xf>
    <xf numFmtId="6" fontId="3" fillId="20" borderId="18" xfId="0" applyNumberFormat="1" applyFont="1" applyFill="1" applyBorder="1" applyAlignment="1">
      <alignment horizontal="right" vertical="center"/>
    </xf>
    <xf numFmtId="0" fontId="0" fillId="16" borderId="18" xfId="0" applyFont="1" applyFill="1" applyBorder="1" applyAlignment="1">
      <alignment horizontal="right"/>
    </xf>
    <xf numFmtId="6" fontId="3" fillId="21" borderId="18" xfId="0" applyNumberFormat="1" applyFont="1" applyFill="1" applyBorder="1" applyAlignment="1">
      <alignment horizontal="right" vertical="center"/>
    </xf>
    <xf numFmtId="0" fontId="0" fillId="0" borderId="0" xfId="0" applyFont="1" applyAlignment="1">
      <alignment horizontal="right"/>
    </xf>
    <xf numFmtId="0" fontId="0" fillId="12" borderId="18" xfId="0" applyFont="1" applyFill="1" applyBorder="1" applyAlignment="1">
      <alignment horizontal="right" vertical="center"/>
    </xf>
    <xf numFmtId="6" fontId="0" fillId="9" borderId="18" xfId="0" applyNumberFormat="1" applyFont="1" applyFill="1" applyBorder="1" applyAlignment="1">
      <alignment horizontal="right" vertical="center"/>
    </xf>
    <xf numFmtId="0" fontId="0" fillId="21" borderId="18" xfId="0" applyFont="1" applyFill="1" applyBorder="1" applyAlignment="1">
      <alignment horizontal="right"/>
    </xf>
    <xf numFmtId="0" fontId="41" fillId="26" borderId="11" xfId="0" applyFont="1" applyFill="1" applyBorder="1" applyAlignment="1">
      <alignment horizontal="center" vertical="center" textRotation="90" wrapText="1"/>
    </xf>
    <xf numFmtId="0" fontId="50" fillId="26" borderId="11" xfId="0" applyFont="1" applyFill="1" applyBorder="1" applyAlignment="1">
      <alignment horizontal="center" vertical="center" textRotation="90" wrapText="1"/>
    </xf>
    <xf numFmtId="0" fontId="0" fillId="27" borderId="0" xfId="0" applyFill="1"/>
    <xf numFmtId="0" fontId="38" fillId="0" borderId="0" xfId="0" applyFont="1"/>
    <xf numFmtId="0" fontId="52" fillId="27" borderId="0" xfId="0" applyFont="1" applyFill="1" applyAlignment="1">
      <alignment horizontal="left" vertical="center" indent="5"/>
    </xf>
    <xf numFmtId="0" fontId="0" fillId="27" borderId="0" xfId="0" applyFill="1" applyAlignment="1">
      <alignment horizontal="left" wrapText="1"/>
    </xf>
    <xf numFmtId="0" fontId="54" fillId="0" borderId="0" xfId="0" applyFont="1" applyFill="1" applyAlignment="1"/>
    <xf numFmtId="6" fontId="0" fillId="0" borderId="18" xfId="0" applyNumberFormat="1" applyFont="1" applyFill="1" applyBorder="1" applyAlignment="1">
      <alignment horizontal="left" vertical="center"/>
    </xf>
    <xf numFmtId="0" fontId="0" fillId="14" borderId="18" xfId="0" applyFont="1" applyFill="1" applyBorder="1" applyAlignment="1">
      <alignment horizontal="center" vertical="center"/>
    </xf>
    <xf numFmtId="0" fontId="13" fillId="14" borderId="18" xfId="0" applyFont="1" applyFill="1" applyBorder="1" applyAlignment="1">
      <alignment horizontal="center" vertical="center"/>
    </xf>
    <xf numFmtId="0" fontId="0" fillId="14" borderId="21" xfId="0" applyFont="1" applyFill="1" applyBorder="1" applyAlignment="1">
      <alignment vertical="center" wrapText="1"/>
    </xf>
    <xf numFmtId="6" fontId="0" fillId="16" borderId="21" xfId="0" applyNumberFormat="1" applyFont="1" applyFill="1" applyBorder="1" applyAlignment="1">
      <alignment horizontal="right" vertical="center"/>
    </xf>
    <xf numFmtId="0" fontId="45" fillId="14" borderId="22" xfId="0" applyFont="1" applyFill="1" applyBorder="1" applyAlignment="1">
      <alignment horizontal="center" vertical="center"/>
    </xf>
    <xf numFmtId="0" fontId="43" fillId="14" borderId="22" xfId="0" applyFont="1" applyFill="1" applyBorder="1" applyAlignment="1">
      <alignment horizontal="left" vertical="center"/>
    </xf>
    <xf numFmtId="6" fontId="3" fillId="14" borderId="22" xfId="0" applyNumberFormat="1" applyFont="1" applyFill="1" applyBorder="1" applyAlignment="1">
      <alignment horizontal="right" vertical="center"/>
    </xf>
    <xf numFmtId="0" fontId="0" fillId="14" borderId="18" xfId="0" applyFont="1" applyFill="1" applyBorder="1" applyAlignment="1">
      <alignment vertical="top" wrapText="1"/>
    </xf>
    <xf numFmtId="0" fontId="0" fillId="13" borderId="18" xfId="0" applyFont="1" applyFill="1" applyBorder="1" applyAlignment="1">
      <alignment vertical="top" wrapText="1"/>
    </xf>
    <xf numFmtId="0" fontId="43" fillId="14" borderId="18" xfId="0" applyFont="1" applyFill="1" applyBorder="1" applyAlignment="1">
      <alignment horizontal="left" vertical="center"/>
    </xf>
    <xf numFmtId="6" fontId="3" fillId="14" borderId="18" xfId="0" applyNumberFormat="1" applyFont="1" applyFill="1" applyBorder="1" applyAlignment="1">
      <alignment horizontal="right" vertical="center"/>
    </xf>
    <xf numFmtId="0" fontId="0" fillId="14" borderId="21" xfId="0" applyFont="1" applyFill="1" applyBorder="1" applyAlignment="1">
      <alignment horizontal="center" vertical="center"/>
    </xf>
    <xf numFmtId="0" fontId="13" fillId="0" borderId="0" xfId="0" applyFont="1" applyAlignment="1">
      <alignment wrapText="1"/>
    </xf>
    <xf numFmtId="0" fontId="6" fillId="0" borderId="3" xfId="0" applyFont="1" applyBorder="1" applyAlignment="1">
      <alignment horizontal="center" vertical="top" wrapText="1"/>
    </xf>
    <xf numFmtId="9" fontId="0" fillId="0" borderId="24" xfId="0" applyNumberFormat="1" applyFont="1" applyBorder="1" applyAlignment="1">
      <alignment horizont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vertical="top" wrapText="1"/>
    </xf>
    <xf numFmtId="0" fontId="32" fillId="28" borderId="0" xfId="0" applyFont="1" applyFill="1" applyAlignment="1"/>
    <xf numFmtId="0" fontId="3" fillId="28" borderId="0" xfId="0" applyFont="1" applyFill="1" applyAlignment="1">
      <alignment horizontal="center"/>
    </xf>
    <xf numFmtId="9" fontId="3" fillId="28" borderId="0" xfId="0" applyNumberFormat="1" applyFont="1" applyFill="1" applyAlignment="1">
      <alignment horizontal="center"/>
    </xf>
    <xf numFmtId="0" fontId="0" fillId="0" borderId="0" xfId="0" applyFont="1" applyAlignment="1">
      <alignment horizontal="center"/>
    </xf>
    <xf numFmtId="9" fontId="32" fillId="28" borderId="0" xfId="0" applyNumberFormat="1" applyFont="1" applyFill="1" applyAlignment="1">
      <alignment horizontal="center"/>
    </xf>
    <xf numFmtId="9" fontId="0" fillId="0" borderId="28" xfId="0" applyNumberFormat="1" applyFont="1" applyBorder="1" applyAlignment="1">
      <alignment horizontal="center"/>
    </xf>
    <xf numFmtId="17" fontId="0" fillId="0" borderId="0" xfId="0" applyNumberFormat="1" applyAlignment="1">
      <alignment horizontal="center"/>
    </xf>
    <xf numFmtId="0" fontId="38" fillId="0" borderId="0" xfId="0" applyFont="1" applyAlignment="1">
      <alignment vertical="top"/>
    </xf>
    <xf numFmtId="0" fontId="0" fillId="27" borderId="0" xfId="0" applyFill="1" applyAlignment="1">
      <alignment horizontal="left" vertical="top" wrapText="1"/>
    </xf>
    <xf numFmtId="0" fontId="51" fillId="27" borderId="0" xfId="0" applyFont="1" applyFill="1" applyAlignment="1">
      <alignment horizontal="left"/>
    </xf>
    <xf numFmtId="0" fontId="33" fillId="27" borderId="0" xfId="0" applyFont="1" applyFill="1" applyAlignment="1">
      <alignment horizontal="left"/>
    </xf>
    <xf numFmtId="0" fontId="0" fillId="27" borderId="0" xfId="0" applyFill="1" applyAlignment="1">
      <alignment horizontal="left"/>
    </xf>
    <xf numFmtId="0" fontId="35" fillId="29" borderId="0" xfId="0" applyFont="1" applyFill="1" applyAlignment="1">
      <alignment horizontal="left" wrapText="1"/>
    </xf>
    <xf numFmtId="0" fontId="0" fillId="27" borderId="0" xfId="0" applyFill="1" applyAlignment="1">
      <alignment horizontal="left" wrapText="1"/>
    </xf>
    <xf numFmtId="0" fontId="0" fillId="27" borderId="0" xfId="0" applyFill="1" applyAlignment="1">
      <alignment horizontal="left"/>
    </xf>
    <xf numFmtId="0" fontId="0" fillId="27" borderId="0" xfId="0" applyFill="1" applyAlignment="1">
      <alignment horizontal="left"/>
    </xf>
    <xf numFmtId="0" fontId="0" fillId="19" borderId="0" xfId="0" applyFill="1" applyAlignment="1">
      <alignment horizontal="left" vertical="top" wrapText="1"/>
    </xf>
    <xf numFmtId="0" fontId="3" fillId="27" borderId="0" xfId="0" applyFont="1" applyFill="1" applyAlignment="1">
      <alignment horizontal="left" vertical="top" wrapText="1"/>
    </xf>
    <xf numFmtId="0" fontId="3" fillId="23" borderId="0" xfId="0" applyFont="1" applyFill="1" applyAlignment="1">
      <alignment horizontal="left" vertical="top" wrapText="1"/>
    </xf>
    <xf numFmtId="0" fontId="0" fillId="23" borderId="0" xfId="0" applyFill="1" applyAlignment="1">
      <alignment horizontal="left" vertical="top" wrapText="1"/>
    </xf>
    <xf numFmtId="0" fontId="3" fillId="19" borderId="0" xfId="0" applyFont="1" applyFill="1" applyAlignment="1">
      <alignment horizontal="left" vertical="top" wrapText="1"/>
    </xf>
    <xf numFmtId="0" fontId="3" fillId="22" borderId="0" xfId="0" applyFont="1" applyFill="1" applyAlignment="1">
      <alignment horizontal="left" vertical="top" wrapText="1"/>
    </xf>
    <xf numFmtId="0" fontId="0" fillId="22" borderId="0" xfId="0" applyFill="1" applyAlignment="1">
      <alignment horizontal="left" vertical="top" wrapText="1"/>
    </xf>
    <xf numFmtId="0" fontId="3" fillId="10" borderId="0" xfId="0" applyFont="1" applyFill="1" applyAlignment="1">
      <alignment horizontal="left" vertical="top" wrapText="1"/>
    </xf>
    <xf numFmtId="0" fontId="0" fillId="10" borderId="0" xfId="0" applyFill="1" applyAlignment="1">
      <alignment horizontal="left" vertical="top" wrapText="1"/>
    </xf>
    <xf numFmtId="0" fontId="0" fillId="27" borderId="0" xfId="0" applyFill="1" applyAlignment="1">
      <alignment wrapText="1"/>
    </xf>
    <xf numFmtId="0" fontId="0" fillId="0" borderId="0" xfId="0" applyFill="1" applyAlignment="1">
      <alignment wrapText="1"/>
    </xf>
    <xf numFmtId="0" fontId="55" fillId="0" borderId="0" xfId="0" applyFont="1" applyAlignment="1">
      <alignment horizontal="left" vertical="center"/>
    </xf>
    <xf numFmtId="0" fontId="0" fillId="27" borderId="0" xfId="0" applyFill="1" applyAlignment="1">
      <alignment horizontal="left"/>
    </xf>
    <xf numFmtId="0" fontId="56" fillId="0" borderId="0" xfId="0" applyFont="1"/>
    <xf numFmtId="0" fontId="0" fillId="27" borderId="0" xfId="0" applyFill="1" applyAlignment="1"/>
    <xf numFmtId="0" fontId="0" fillId="0" borderId="0" xfId="0" applyFill="1" applyBorder="1" applyAlignment="1">
      <alignment horizontal="left"/>
    </xf>
    <xf numFmtId="0" fontId="0" fillId="0" borderId="0" xfId="0" applyFill="1" applyBorder="1" applyAlignment="1">
      <alignment horizontal="left" vertical="center"/>
    </xf>
    <xf numFmtId="0" fontId="3" fillId="0" borderId="0" xfId="0" applyFont="1" applyFill="1" applyBorder="1" applyAlignment="1">
      <alignment horizontal="left"/>
    </xf>
    <xf numFmtId="0" fontId="0" fillId="27" borderId="0" xfId="0" applyFill="1" applyAlignment="1">
      <alignment horizontal="left" vertical="top" wrapText="1"/>
    </xf>
    <xf numFmtId="0" fontId="0" fillId="27" borderId="0" xfId="0" applyFill="1" applyAlignment="1">
      <alignment horizontal="left" wrapText="1"/>
    </xf>
    <xf numFmtId="0" fontId="0" fillId="27" borderId="0" xfId="0" applyFill="1" applyAlignment="1">
      <alignment horizontal="left"/>
    </xf>
    <xf numFmtId="0" fontId="0" fillId="27" borderId="0" xfId="0" applyFill="1" applyAlignment="1">
      <alignment horizontal="left" vertical="center" wrapText="1"/>
    </xf>
    <xf numFmtId="0" fontId="0" fillId="27" borderId="0" xfId="0" applyFont="1" applyFill="1" applyAlignment="1">
      <alignment horizontal="left" vertical="center" wrapText="1"/>
    </xf>
    <xf numFmtId="0" fontId="13" fillId="0" borderId="0" xfId="0" applyFont="1" applyAlignment="1">
      <alignment horizontal="center" wrapText="1"/>
    </xf>
    <xf numFmtId="0" fontId="0" fillId="0" borderId="0" xfId="0" applyFill="1" applyAlignment="1">
      <alignment horizontal="center" vertical="top"/>
    </xf>
    <xf numFmtId="0" fontId="35" fillId="10" borderId="12" xfId="0" applyFont="1" applyFill="1" applyBorder="1" applyAlignment="1">
      <alignment horizontal="center" vertical="center"/>
    </xf>
    <xf numFmtId="0" fontId="35" fillId="10" borderId="0" xfId="0" applyFont="1" applyFill="1" applyBorder="1" applyAlignment="1">
      <alignment horizontal="center" vertical="center"/>
    </xf>
    <xf numFmtId="0" fontId="35" fillId="10" borderId="13" xfId="0" applyFont="1" applyFill="1" applyBorder="1" applyAlignment="1">
      <alignment horizontal="center" vertical="center"/>
    </xf>
    <xf numFmtId="0" fontId="35" fillId="22" borderId="15" xfId="0" applyFont="1" applyFill="1" applyBorder="1" applyAlignment="1">
      <alignment horizontal="center" vertical="center"/>
    </xf>
    <xf numFmtId="0" fontId="35" fillId="22" borderId="16" xfId="0" applyFont="1" applyFill="1" applyBorder="1" applyAlignment="1">
      <alignment horizontal="center" vertical="center"/>
    </xf>
    <xf numFmtId="0" fontId="35" fillId="10" borderId="25" xfId="0" applyFont="1" applyFill="1" applyBorder="1" applyAlignment="1">
      <alignment horizontal="center" vertical="center"/>
    </xf>
    <xf numFmtId="0" fontId="35" fillId="10" borderId="26" xfId="0" applyFont="1" applyFill="1" applyBorder="1" applyAlignment="1">
      <alignment horizontal="center" vertical="center"/>
    </xf>
    <xf numFmtId="0" fontId="35" fillId="10" borderId="27" xfId="0" applyFont="1" applyFill="1" applyBorder="1" applyAlignment="1">
      <alignment horizontal="center" vertical="center"/>
    </xf>
    <xf numFmtId="0" fontId="35" fillId="23" borderId="15" xfId="0" applyFont="1" applyFill="1" applyBorder="1" applyAlignment="1">
      <alignment horizontal="center" vertical="center"/>
    </xf>
    <xf numFmtId="0" fontId="35" fillId="23" borderId="16" xfId="0" applyFont="1" applyFill="1" applyBorder="1" applyAlignment="1">
      <alignment horizontal="center" vertical="center"/>
    </xf>
    <xf numFmtId="0" fontId="35" fillId="23" borderId="17" xfId="0" applyFont="1" applyFill="1" applyBorder="1" applyAlignment="1">
      <alignment horizontal="center" vertical="center"/>
    </xf>
    <xf numFmtId="0" fontId="35" fillId="26" borderId="25" xfId="0" applyFont="1" applyFill="1" applyBorder="1" applyAlignment="1">
      <alignment horizontal="center" vertical="center"/>
    </xf>
    <xf numFmtId="0" fontId="35" fillId="26" borderId="26" xfId="0" applyFont="1" applyFill="1" applyBorder="1" applyAlignment="1">
      <alignment horizontal="center" vertical="center"/>
    </xf>
    <xf numFmtId="0" fontId="35" fillId="26" borderId="27" xfId="0" applyFont="1" applyFill="1" applyBorder="1" applyAlignment="1">
      <alignment horizontal="center" vertical="center"/>
    </xf>
    <xf numFmtId="0" fontId="35" fillId="19" borderId="15" xfId="0" applyFont="1" applyFill="1" applyBorder="1" applyAlignment="1">
      <alignment horizontal="center" vertical="center"/>
    </xf>
    <xf numFmtId="0" fontId="35" fillId="19" borderId="16" xfId="0" applyFont="1" applyFill="1" applyBorder="1" applyAlignment="1">
      <alignment horizontal="center" vertical="center"/>
    </xf>
    <xf numFmtId="0" fontId="35" fillId="19" borderId="17" xfId="0" applyFont="1" applyFill="1" applyBorder="1" applyAlignment="1">
      <alignment horizontal="center" vertical="center"/>
    </xf>
    <xf numFmtId="0" fontId="35" fillId="25" borderId="15" xfId="0" applyFont="1" applyFill="1" applyBorder="1" applyAlignment="1">
      <alignment horizontal="center" vertical="center"/>
    </xf>
    <xf numFmtId="0" fontId="35" fillId="25" borderId="16" xfId="0" applyFont="1" applyFill="1" applyBorder="1" applyAlignment="1">
      <alignment horizontal="center" vertical="center"/>
    </xf>
    <xf numFmtId="0" fontId="35" fillId="25" borderId="17" xfId="0" applyFont="1" applyFill="1" applyBorder="1" applyAlignment="1">
      <alignment horizontal="center" vertical="center"/>
    </xf>
    <xf numFmtId="0" fontId="31" fillId="20" borderId="18" xfId="0" applyFont="1" applyFill="1" applyBorder="1" applyAlignment="1">
      <alignment horizontal="left" vertical="center"/>
    </xf>
    <xf numFmtId="0" fontId="40" fillId="10" borderId="18" xfId="0" applyFont="1" applyFill="1" applyBorder="1" applyAlignment="1">
      <alignment horizontal="center"/>
    </xf>
    <xf numFmtId="0" fontId="28" fillId="12" borderId="18" xfId="0" applyFont="1" applyFill="1" applyBorder="1" applyAlignment="1">
      <alignment horizontal="left" vertical="center"/>
    </xf>
    <xf numFmtId="0" fontId="29" fillId="15" borderId="18" xfId="0" applyFont="1" applyFill="1" applyBorder="1" applyAlignment="1">
      <alignment horizontal="left" vertical="center"/>
    </xf>
    <xf numFmtId="0" fontId="29" fillId="14" borderId="21" xfId="0" applyFont="1" applyFill="1" applyBorder="1" applyAlignment="1">
      <alignment horizontal="left" vertical="center"/>
    </xf>
    <xf numFmtId="0" fontId="29" fillId="14" borderId="22" xfId="0" applyFont="1" applyFill="1" applyBorder="1" applyAlignment="1">
      <alignment horizontal="left" vertical="center"/>
    </xf>
    <xf numFmtId="0" fontId="29" fillId="14" borderId="23" xfId="0" applyFont="1" applyFill="1" applyBorder="1" applyAlignment="1">
      <alignment horizontal="left" vertical="center"/>
    </xf>
  </cellXfs>
  <cellStyles count="1">
    <cellStyle name="Normal" xfId="0" builtinId="0"/>
  </cellStyles>
  <dxfs count="275">
    <dxf>
      <alignment vertical="top" textRotation="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alignment horizontal="center" vertical="top" textRotation="0" wrapText="0" indent="0" justifyLastLine="0" shrinkToFit="0" readingOrder="0"/>
    </dxf>
    <dxf>
      <font>
        <b val="0"/>
        <i val="0"/>
        <strike val="0"/>
        <condense val="0"/>
        <extend val="0"/>
        <outline val="0"/>
        <shadow val="0"/>
        <u val="none"/>
        <vertAlign val="baseline"/>
        <sz val="11"/>
        <color theme="0" tint="-0.499984740745262"/>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9" tint="0.79998168889431442"/>
        <name val="Calibri"/>
        <scheme val="minor"/>
      </font>
      <fill>
        <patternFill patternType="solid">
          <fgColor indexed="64"/>
          <bgColor theme="9" tint="-0.499984740745262"/>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3" formatCode="0%"/>
      <alignment horizontal="center" vertical="bottom" textRotation="0" wrapText="0" indent="0" justifyLastLine="0" shrinkToFit="0" readingOrder="0"/>
      <border diagonalUp="0" diagonalDown="0" outline="0">
        <left/>
        <right/>
        <top style="thin">
          <color theme="7" tint="0.39997558519241921"/>
        </top>
        <bottom style="thin">
          <color theme="7" tint="0.39997558519241921"/>
        </bottom>
      </border>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3" formatCode="0%"/>
      <alignment horizontal="center" vertical="bottom" textRotation="0" wrapText="0" indent="0" justifyLastLine="0" shrinkToFit="0" readingOrder="0"/>
      <border diagonalUp="0" diagonalDown="0" outline="0">
        <left/>
        <right/>
        <top style="thin">
          <color theme="7" tint="0.39997558519241921"/>
        </top>
        <bottom style="thin">
          <color theme="7" tint="0.39997558519241921"/>
        </bottom>
      </border>
    </dxf>
    <dxf>
      <alignment horizontal="center" vertical="bottom"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9"/>
        </patternFill>
      </fill>
      <alignment horizontal="left" vertical="center" textRotation="0" wrapText="1" indent="0" justifyLastLine="0" shrinkToFit="0" readingOrder="0"/>
      <border diagonalUp="0" diagonalDown="0" outline="0">
        <left style="thin">
          <color theme="0"/>
        </left>
        <right/>
        <top style="thin">
          <color theme="0"/>
        </top>
        <bottom style="thin">
          <color theme="0"/>
        </bottom>
      </border>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vertical="center" textRotation="0" wrapText="1"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5" tint="0.79998168889431442"/>
        </patternFill>
      </fill>
      <alignment horizontal="center" vertical="bottom" textRotation="0" wrapText="0" indent="0" justifyLastLine="0" shrinkToFit="0" readingOrder="0"/>
    </dxf>
    <dxf>
      <font>
        <b/>
      </font>
      <fill>
        <patternFill patternType="solid">
          <fgColor indexed="64"/>
          <bgColor theme="5" tint="0.79998168889431442"/>
        </patternFill>
      </fill>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solid">
          <fgColor indexed="64"/>
          <bgColor theme="7" tint="0.59999389629810485"/>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solid">
          <fgColor indexed="64"/>
          <bgColor theme="7" tint="0.59999389629810485"/>
        </patternFill>
      </fill>
      <alignment horizontal="center"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indent="0" justifyLastLine="0" shrinkToFit="0" readingOrder="0"/>
    </dxf>
    <dxf>
      <alignment horizontal="center" vertical="bottom" textRotation="0" wrapText="0" indent="0" justifyLastLine="0" shrinkToFit="0" readingOrder="0"/>
    </dxf>
    <dxf>
      <alignment horizontal="center" indent="0" justifyLastLine="0" shrinkToFit="0" readingOrder="0"/>
    </dxf>
    <dxf>
      <numFmt numFmtId="13" formatCode="0%"/>
      <alignment horizontal="center" vertical="bottom" textRotation="0" wrapText="0" indent="0" justifyLastLine="0" shrinkToFit="0" readingOrder="0"/>
    </dxf>
    <dxf>
      <numFmt numFmtId="13" formatCode="0%"/>
      <alignment horizontal="center" textRotation="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textRotation="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center" indent="0" justifyLastLine="0" shrinkToFit="0" readingOrder="0"/>
    </dxf>
    <dxf>
      <border>
        <bottom style="thin">
          <color theme="0"/>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bottom style="thin">
          <color theme="7" tint="-0.499984740745262"/>
        </bottom>
        <vertical/>
        <horizontal/>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right style="thin">
          <color theme="7" tint="-0.499984740745262"/>
        </right>
        <top style="thin">
          <color theme="7" tint="-0.499984740745262"/>
        </top>
        <bottom style="thin">
          <color theme="7" tint="-0.499984740745262"/>
        </bottom>
        <vertical/>
        <horizontal/>
      </border>
    </dxf>
    <dxf>
      <border diagonalUp="0" diagonalDown="0">
        <left/>
        <right/>
        <top/>
        <bottom style="thin">
          <color theme="7" tint="-0.499984740745262"/>
        </bottom>
      </border>
    </dxf>
    <dxf>
      <font>
        <strike val="0"/>
        <outline val="0"/>
        <shadow val="0"/>
        <u val="none"/>
        <vertAlign val="baseline"/>
        <sz val="11"/>
        <color theme="2"/>
        <name val="Calibri"/>
        <scheme val="minor"/>
      </font>
      <fill>
        <patternFill patternType="solid">
          <fgColor indexed="64"/>
          <bgColor theme="4" tint="-0.499984740745262"/>
        </patternFill>
      </fill>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bottom style="thin">
          <color theme="7" tint="-0.499984740745262"/>
        </bottom>
        <vertical/>
        <horizontal/>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center" vertical="top" textRotation="0" wrapText="1" indent="0" justifyLastLine="0" shrinkToFit="0" readingOrder="0"/>
      <border diagonalUp="0" diagonalDown="0">
        <left/>
        <right style="thin">
          <color theme="7" tint="-0.499984740745262"/>
        </right>
        <top style="thin">
          <color theme="7" tint="-0.499984740745262"/>
        </top>
        <bottom style="thin">
          <color theme="7" tint="-0.499984740745262"/>
        </bottom>
        <vertical/>
        <horizontal/>
      </border>
    </dxf>
    <dxf>
      <border diagonalUp="0" diagonalDown="0">
        <left/>
        <right/>
        <top/>
        <bottom style="thin">
          <color theme="7" tint="-0.499984740745262"/>
        </bottom>
      </border>
    </dxf>
    <dxf>
      <font>
        <strike val="0"/>
        <outline val="0"/>
        <shadow val="0"/>
        <u val="none"/>
        <vertAlign val="baseline"/>
        <sz val="11"/>
        <color theme="2"/>
        <name val="Calibri"/>
        <scheme val="minor"/>
      </font>
      <fill>
        <patternFill patternType="solid">
          <fgColor indexed="64"/>
          <bgColor theme="2" tint="-0.89999084444715716"/>
        </patternFill>
      </fill>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bottom style="thin">
          <color theme="7" tint="-0.499984740745262"/>
        </bottom>
        <vertical/>
        <horizontal/>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right style="thin">
          <color theme="7" tint="-0.499984740745262"/>
        </right>
        <top style="thin">
          <color theme="7" tint="-0.499984740745262"/>
        </top>
        <bottom style="thin">
          <color theme="7" tint="-0.499984740745262"/>
        </bottom>
        <vertical/>
        <horizontal/>
      </border>
    </dxf>
    <dxf>
      <border diagonalUp="0" diagonalDown="0">
        <left/>
        <right/>
        <top/>
        <bottom style="thin">
          <color theme="7" tint="-0.499984740745262"/>
        </bottom>
      </border>
    </dxf>
    <dxf>
      <font>
        <strike val="0"/>
        <outline val="0"/>
        <shadow val="0"/>
        <u val="none"/>
        <vertAlign val="baseline"/>
        <sz val="11"/>
        <color theme="9" tint="0.79998168889431442"/>
        <name val="Calibri"/>
        <scheme val="minor"/>
      </font>
      <fill>
        <patternFill patternType="solid">
          <fgColor indexed="64"/>
          <bgColor theme="9" tint="-0.499984740745262"/>
        </patternFill>
      </fill>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sz val="11"/>
        <color theme="0" tint="-0.499984740745262"/>
        <name val="Calibri"/>
        <scheme val="minor"/>
      </font>
      <alignment horizontal="center"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alignment horizontal="general"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alignment horizontal="center"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border outline="0">
        <bottom style="thin">
          <color theme="5" tint="-0.499984740745262"/>
        </bottom>
      </border>
    </dxf>
    <dxf>
      <font>
        <strike val="0"/>
        <outline val="0"/>
        <shadow val="0"/>
        <u val="none"/>
        <vertAlign val="baseline"/>
        <sz val="11"/>
        <color theme="7" tint="0.79998168889431442"/>
        <name val="Calibri"/>
        <scheme val="minor"/>
      </font>
      <fill>
        <patternFill patternType="solid">
          <fgColor indexed="64"/>
          <bgColor theme="7" tint="-0.499984740745262"/>
        </patternFill>
      </fill>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center" vertical="top"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general" vertical="top" textRotation="0" wrapText="0" indent="0" justifyLastLine="0" shrinkToFit="0" readingOrder="0"/>
      <border outline="0">
        <right style="thin">
          <color theme="5" tint="-0.499984740745262"/>
        </right>
      </border>
    </dxf>
    <dxf>
      <font>
        <strike val="0"/>
        <outline val="0"/>
        <shadow val="0"/>
        <u val="none"/>
        <vertAlign val="baseline"/>
        <sz val="11"/>
        <color theme="0" tint="-0.499984740745262"/>
        <name val="Calibri"/>
        <scheme val="minor"/>
      </font>
      <fill>
        <patternFill patternType="solid">
          <fgColor indexed="64"/>
          <bgColor theme="0" tint="-4.9989318521683403E-2"/>
        </patternFill>
      </fill>
      <alignment horizontal="general" vertical="top" textRotation="0" wrapText="0" indent="0" justifyLastLine="0" shrinkToFit="0" readingOrder="0"/>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general" vertical="top" textRotation="0" wrapText="1" indent="0" justifyLastLine="0" shrinkToFit="0" readingOrder="0"/>
    </dxf>
    <dxf>
      <font>
        <strike val="0"/>
        <outline val="0"/>
        <shadow val="0"/>
        <u val="none"/>
        <vertAlign val="baseline"/>
        <sz val="11"/>
        <color theme="0" tint="-0.499984740745262"/>
        <name val="Calibri"/>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1"/>
        <color theme="0" tint="-0.499984740745262"/>
        <name val="Calibri"/>
        <scheme val="minor"/>
      </font>
      <fill>
        <patternFill patternType="solid">
          <fgColor indexed="64"/>
          <bgColor theme="0" tint="-4.9989318521683403E-2"/>
        </patternFill>
      </fill>
      <alignment horizontal="general" vertical="top" textRotation="0" wrapText="1" indent="0" justifyLastLine="0" shrinkToFit="0" readingOrder="0"/>
    </dxf>
    <dxf>
      <font>
        <strike val="0"/>
        <outline val="0"/>
        <shadow val="0"/>
        <u val="none"/>
        <vertAlign val="baseline"/>
        <sz val="11"/>
        <color theme="0" tint="-0.499984740745262"/>
        <name val="Calibri"/>
        <scheme val="minor"/>
      </font>
      <fill>
        <patternFill patternType="solid">
          <fgColor indexed="64"/>
          <bgColor theme="0" tint="-4.9989318521683403E-2"/>
        </patternFill>
      </fill>
      <alignment horizontal="general" vertical="top" textRotation="0" wrapText="1" indent="0" justifyLastLine="0" shrinkToFit="0" readingOrder="0"/>
    </dxf>
    <dxf>
      <alignment horizontal="left" vertical="bottom" textRotation="0" wrapText="0" indent="0" justifyLastLine="0" shrinkToFit="0" readingOrder="0"/>
      <border diagonalUp="0" diagonalDown="0" outline="0">
        <left style="thin">
          <color theme="5" tint="-0.499984740745262"/>
        </left>
        <right/>
        <top style="thin">
          <color theme="5" tint="-0.499984740745262"/>
        </top>
        <bottom style="thin">
          <color theme="5" tint="-0.499984740745262"/>
        </bottom>
      </border>
    </dxf>
    <dxf>
      <alignment horizontal="center" vertical="top" textRotation="0" wrapText="1" indent="0" justifyLastLine="0" shrinkToFit="0" readingOrder="0"/>
      <border diagonalUp="0" diagonalDown="0">
        <left style="thin">
          <color theme="5" tint="-0.499984740745262"/>
        </left>
        <right style="thin">
          <color theme="5" tint="-0.499984740745262"/>
        </right>
        <top style="thin">
          <color theme="5" tint="-0.499984740745262"/>
        </top>
        <bottom style="thin">
          <color theme="5" tint="-0.499984740745262"/>
        </bottom>
        <vertical/>
        <horizontal/>
      </border>
    </dxf>
    <dxf>
      <alignment horizontal="center" vertical="top"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alignment horizontal="center" vertical="top"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numFmt numFmtId="10" formatCode="&quot;£&quot;#,##0;[Red]\-&quot;£&quot;#,##0"/>
      <alignment horizontal="center" vertical="top" textRotation="0" wrapText="1" indent="0" justifyLastLine="0" shrinkToFit="0" readingOrder="0"/>
      <border diagonalUp="0" diagonalDown="0">
        <left style="thin">
          <color theme="5" tint="-0.499984740745262"/>
        </left>
        <right style="thin">
          <color theme="5" tint="-0.499984740745262"/>
        </right>
        <top style="thin">
          <color theme="5" tint="-0.499984740745262"/>
        </top>
        <bottom style="thin">
          <color theme="5" tint="-0.499984740745262"/>
        </bottom>
        <vertical/>
        <horizontal/>
      </border>
    </dxf>
    <dxf>
      <numFmt numFmtId="10" formatCode="&quot;£&quot;#,##0;[Red]\-&quot;£&quot;#,##0"/>
      <alignment horizontal="general" vertical="top" textRotation="0" wrapText="1" indent="0" justifyLastLine="0" shrinkToFit="0" readingOrder="0"/>
      <border diagonalUp="0" diagonalDown="0">
        <left style="thin">
          <color theme="5" tint="-0.499984740745262"/>
        </left>
        <right style="thin">
          <color theme="5" tint="-0.499984740745262"/>
        </right>
        <top style="thin">
          <color theme="5" tint="-0.499984740745262"/>
        </top>
        <bottom style="thin">
          <color theme="5" tint="-0.499984740745262"/>
        </bottom>
        <vertical/>
        <horizontal/>
      </border>
    </dxf>
    <dxf>
      <alignment horizontal="general" vertical="top" textRotation="0" wrapText="1" indent="0" justifyLastLine="0" shrinkToFit="0" readingOrder="0"/>
      <border diagonalUp="0" diagonalDown="0">
        <left style="thin">
          <color theme="5" tint="-0.499984740745262"/>
        </left>
        <right style="thin">
          <color theme="5" tint="-0.499984740745262"/>
        </right>
        <top style="thin">
          <color theme="5" tint="-0.499984740745262"/>
        </top>
        <bottom style="thin">
          <color theme="5" tint="-0.499984740745262"/>
        </bottom>
        <vertical/>
        <horizontal/>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theme="5" tint="-0.499984740745262"/>
        </left>
        <right style="thin">
          <color theme="5" tint="-0.499984740745262"/>
        </right>
        <top style="thin">
          <color theme="5" tint="-0.499984740745262"/>
        </top>
        <bottom style="thin">
          <color theme="5" tint="-0.499984740745262"/>
        </bottom>
        <vertical/>
        <horizontal/>
      </border>
    </dxf>
    <dxf>
      <border diagonalUp="0" diagonalDown="0">
        <left style="thin">
          <color theme="5" tint="-0.499984740745262"/>
        </left>
        <right style="thin">
          <color theme="5" tint="-0.499984740745262"/>
        </right>
        <top style="thin">
          <color theme="5" tint="-0.499984740745262"/>
        </top>
        <bottom style="thin">
          <color theme="5" tint="-0.499984740745262"/>
        </bottom>
        <vertical style="thin">
          <color theme="5" tint="-0.499984740745262"/>
        </vertical>
        <horizontal style="thin">
          <color theme="5" tint="-0.499984740745262"/>
        </horizontal>
      </border>
    </dxf>
    <dxf>
      <border diagonalUp="0" diagonalDown="0">
        <left style="thin">
          <color theme="5" tint="-0.499984740745262"/>
        </left>
        <right style="thin">
          <color theme="5" tint="-0.499984740745262"/>
        </right>
        <top style="thin">
          <color theme="5" tint="-0.499984740745262"/>
        </top>
        <bottom style="thin">
          <color theme="5" tint="-0.499984740745262"/>
        </bottom>
        <vertical style="thin">
          <color theme="5" tint="-0.499984740745262"/>
        </vertical>
        <horizontal style="thin">
          <color theme="5" tint="-0.499984740745262"/>
        </horizontal>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alignment horizontal="center" vertical="bottom" textRotation="0" wrapText="0" indent="0" justifyLastLine="0" shrinkToFit="0" readingOrder="0"/>
      <border diagonalUp="0" diagonalDown="0">
        <left style="thin">
          <color theme="5" tint="-0.499984740745262"/>
        </left>
        <right style="thin">
          <color theme="5" tint="-0.499984740745262"/>
        </right>
        <top style="thin">
          <color theme="5" tint="-0.499984740745262"/>
        </top>
        <bottom style="thin">
          <color theme="5" tint="-0.499984740745262"/>
        </bottom>
        <vertical style="thin">
          <color theme="5" tint="-0.499984740745262"/>
        </vertical>
        <horizontal style="thin">
          <color theme="5" tint="-0.499984740745262"/>
        </horizontal>
      </border>
    </dxf>
    <dxf>
      <alignment horizontal="center" vertical="bottom" textRotation="0" wrapText="0" indent="0" justifyLastLine="0" shrinkToFit="0" readingOrder="0"/>
      <border diagonalUp="0" diagonalDown="0">
        <left style="thin">
          <color theme="5" tint="-0.499984740745262"/>
        </left>
        <right style="thin">
          <color theme="5" tint="-0.499984740745262"/>
        </right>
        <top style="thin">
          <color theme="5" tint="-0.499984740745262"/>
        </top>
        <bottom style="thin">
          <color theme="5" tint="-0.499984740745262"/>
        </bottom>
        <vertical style="thin">
          <color theme="5" tint="-0.499984740745262"/>
        </vertical>
        <horizontal style="thin">
          <color theme="5" tint="-0.499984740745262"/>
        </horizontal>
      </border>
    </dxf>
    <dxf>
      <font>
        <b/>
        <i val="0"/>
        <strike val="0"/>
        <condense val="0"/>
        <extend val="0"/>
        <outline val="0"/>
        <shadow val="0"/>
        <u val="none"/>
        <vertAlign val="baseline"/>
        <sz val="11"/>
        <color theme="5" tint="0.79998168889431442"/>
        <name val="Calibri"/>
        <scheme val="minor"/>
      </font>
      <fill>
        <patternFill patternType="solid">
          <fgColor indexed="64"/>
          <bgColor theme="5" tint="-0.499984740745262"/>
        </patternFill>
      </fill>
      <alignment horizontal="general" vertical="center" textRotation="0" wrapText="1" indent="0" justifyLastLine="0" shrinkToFit="0" readingOrder="0"/>
    </dxf>
    <dxf>
      <font>
        <strike val="0"/>
        <outline val="0"/>
        <shadow val="0"/>
        <u val="none"/>
        <vertAlign val="baseline"/>
        <sz val="11"/>
        <color theme="0" tint="-0.499984740745262"/>
        <name val="Calibri"/>
        <scheme val="minor"/>
      </font>
      <alignment horizontal="general" vertical="top" textRotation="0" wrapText="1" indent="0" justifyLastLine="0" shrinkToFit="0" readingOrder="0"/>
    </dxf>
    <dxf>
      <font>
        <strike val="0"/>
        <outline val="0"/>
        <shadow val="0"/>
        <u val="none"/>
        <vertAlign val="baseline"/>
        <sz val="11"/>
        <color theme="0" tint="-0.499984740745262"/>
        <name val="Calibri"/>
        <scheme val="minor"/>
      </font>
      <alignment horizontal="general" vertical="top" textRotation="0" wrapText="1" indent="0" justifyLastLine="0" shrinkToFit="0" readingOrder="0"/>
    </dxf>
    <dxf>
      <font>
        <strike val="0"/>
        <outline val="0"/>
        <shadow val="0"/>
        <u val="none"/>
        <vertAlign val="baseline"/>
        <sz val="11"/>
        <color theme="0" tint="-0.499984740745262"/>
        <name val="Calibri"/>
        <scheme val="minor"/>
      </font>
      <fill>
        <patternFill patternType="solid">
          <fgColor indexed="64"/>
          <bgColor theme="0" tint="-4.9989318521683403E-2"/>
        </patternFill>
      </fill>
      <alignment horizontal="general" vertical="top" textRotation="0" wrapText="1" indent="0" justifyLastLine="0" shrinkToFit="0" readingOrder="0"/>
    </dxf>
    <dxf>
      <font>
        <strike val="0"/>
        <outline val="0"/>
        <shadow val="0"/>
        <u val="none"/>
        <vertAlign val="baseline"/>
        <sz val="11"/>
        <color theme="0" tint="-0.499984740745262"/>
        <name val="Calibri"/>
        <scheme val="minor"/>
      </font>
      <alignment horizontal="general" vertical="top" textRotation="0" wrapText="1" indent="0" justifyLastLine="0" shrinkToFit="0" readingOrder="0"/>
    </dxf>
    <dxf>
      <font>
        <strike val="0"/>
        <outline val="0"/>
        <shadow val="0"/>
        <u val="none"/>
        <vertAlign val="baseline"/>
        <sz val="11"/>
        <color theme="0"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general" vertical="top" textRotation="0" wrapText="1" indent="0" justifyLastLine="0" shrinkToFit="0" readingOrder="0"/>
    </dxf>
    <dxf>
      <font>
        <b val="0"/>
        <i val="0"/>
        <strike val="0"/>
        <condense val="0"/>
        <extend val="0"/>
        <outline val="0"/>
        <shadow val="0"/>
        <u val="none"/>
        <vertAlign val="baseline"/>
        <sz val="11"/>
        <color theme="0" tint="-0.499984740745262"/>
        <name val="Calibri"/>
        <scheme val="minor"/>
      </font>
      <fill>
        <patternFill patternType="solid">
          <fgColor indexed="64"/>
          <bgColor theme="0" tint="-4.9989318521683403E-2"/>
        </patternFill>
      </fill>
      <alignment horizontal="general" vertical="top" textRotation="0" wrapText="1" indent="0" justifyLastLine="0" shrinkToFit="0" readingOrder="0"/>
    </dxf>
    <dxf>
      <font>
        <strike val="0"/>
        <outline val="0"/>
        <shadow val="0"/>
        <u val="none"/>
        <vertAlign val="baseline"/>
        <sz val="11"/>
        <color theme="0" tint="-0.499984740745262"/>
        <name val="Calibri"/>
        <scheme val="minor"/>
      </font>
      <alignment horizontal="general" vertical="top" textRotation="0" wrapText="1" indent="0" justifyLastLine="0" shrinkToFit="0" readingOrder="0"/>
    </dxf>
    <dxf>
      <font>
        <strike val="0"/>
        <outline val="0"/>
        <shadow val="0"/>
        <u val="none"/>
        <vertAlign val="baseline"/>
        <sz val="11"/>
        <color theme="0" tint="-0.499984740745262"/>
        <name val="Calibri"/>
        <scheme val="minor"/>
      </font>
      <alignment horizontal="general" vertical="top" textRotation="0" wrapText="1" indent="0" justifyLastLine="0" shrinkToFit="0" readingOrder="0"/>
    </dxf>
    <dxf>
      <font>
        <strike val="0"/>
        <outline val="0"/>
        <shadow val="0"/>
        <u val="none"/>
        <vertAlign val="baseline"/>
        <sz val="11"/>
        <color theme="0" tint="-0.499984740745262"/>
        <name val="Calibri"/>
        <scheme val="minor"/>
      </font>
      <alignment horizontal="general" vertical="top" textRotation="0" wrapText="1" indent="0" justifyLastLine="0" shrinkToFit="0" readingOrder="0"/>
    </dxf>
    <dxf>
      <alignment horizontal="left" vertical="top" textRotation="0" wrapText="1" indent="0" justifyLastLine="0" shrinkToFit="0" readingOrder="0"/>
      <border diagonalUp="0" diagonalDown="0" outline="0">
        <left style="thin">
          <color rgb="FF002060"/>
        </left>
        <right/>
        <top style="thin">
          <color rgb="FF002060"/>
        </top>
        <bottom style="thin">
          <color rgb="FF002060"/>
        </bottom>
      </border>
    </dxf>
    <dxf>
      <alignment horizontal="center"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center"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center"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center"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center"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general"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general"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general"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general"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general"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left" vertical="top" textRotation="0" wrapText="1" indent="0" justifyLastLine="0" shrinkToFit="0" readingOrder="0"/>
      <border diagonalUp="0" diagonalDown="0" outline="0">
        <left style="thin">
          <color rgb="FF002060"/>
        </left>
        <right style="thin">
          <color rgb="FF002060"/>
        </right>
        <top style="thin">
          <color rgb="FF002060"/>
        </top>
        <bottom style="thin">
          <color rgb="FF002060"/>
        </bottom>
      </border>
    </dxf>
    <dxf>
      <alignment horizontal="center"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alignment horizontal="center" vertical="top" textRotation="0" wrapText="1" indent="0" justifyLastLine="0" shrinkToFit="0" readingOrder="0"/>
      <border diagonalUp="0" diagonalDown="0">
        <left style="thin">
          <color rgb="FF002060"/>
        </left>
        <right style="thin">
          <color rgb="FF002060"/>
        </right>
        <top style="thin">
          <color rgb="FF002060"/>
        </top>
        <bottom style="thin">
          <color rgb="FF002060"/>
        </bottom>
        <vertical/>
        <horizontal/>
      </border>
    </dxf>
    <dxf>
      <border outline="0">
        <bottom style="thin">
          <color rgb="FF002060"/>
        </bottom>
      </border>
    </dxf>
    <dxf>
      <alignment horizontal="general" vertical="top" textRotation="0" wrapText="1" indent="0" justifyLastLine="0" shrinkToFit="0" readingOrder="0"/>
    </dxf>
    <dxf>
      <font>
        <b/>
        <i val="0"/>
        <strike val="0"/>
        <condense val="0"/>
        <extend val="0"/>
        <outline val="0"/>
        <shadow val="0"/>
        <u val="none"/>
        <vertAlign val="baseline"/>
        <sz val="11"/>
        <color theme="8" tint="0.79998168889431442"/>
        <name val="Calibri"/>
        <scheme val="minor"/>
      </font>
      <fill>
        <patternFill patternType="solid">
          <fgColor indexed="64"/>
          <bgColor rgb="FF002060"/>
        </patternFill>
      </fill>
      <alignment horizontal="general" vertical="center" textRotation="0" wrapText="1" indent="0" justifyLastLine="0" shrinkToFit="0" readingOrder="0"/>
    </dxf>
    <dxf>
      <font>
        <b/>
        <i val="0"/>
        <color rgb="FFC00000"/>
      </font>
      <fill>
        <patternFill>
          <bgColor rgb="FFFFCCCC"/>
        </patternFill>
      </fill>
    </dxf>
    <dxf>
      <fill>
        <patternFill patternType="solid">
          <fgColor indexed="64"/>
          <bgColor theme="0"/>
        </patternFill>
      </fill>
      <alignment horizontal="left" vertical="top" textRotation="0" wrapText="1" indent="0" justifyLastLine="0" shrinkToFit="0" readingOrder="0"/>
    </dxf>
    <dxf>
      <font>
        <b/>
      </font>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alignment horizontal="left"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2" tint="-0.499984740745262"/>
        </patternFill>
      </fill>
      <alignment horizontal="left" vertical="bottom" textRotation="0" wrapText="1" indent="0" justifyLastLine="0" shrinkToFit="0" readingOrder="0"/>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011D-844C-9A45-D7715ACEB5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954-A446-B5AF-8D2C0EF56E49}"/>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011D-844C-9A45-D7715ACEB5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'2_MetaAnalysis'!$O$5:$Q$5</c:f>
              <c:strCache>
                <c:ptCount val="3"/>
                <c:pt idx="0">
                  <c:v>Demand focus</c:v>
                </c:pt>
                <c:pt idx="1">
                  <c:v>Supply focus</c:v>
                </c:pt>
                <c:pt idx="2">
                  <c:v>Maybe/unsure</c:v>
                </c:pt>
              </c:strCache>
            </c:strRef>
          </c:cat>
          <c:val>
            <c:numRef>
              <c:f>'2_MetaAnalysis'!$O$6:$Q$6</c:f>
              <c:numCache>
                <c:formatCode>General</c:formatCode>
                <c:ptCount val="3"/>
                <c:pt idx="0">
                  <c:v>13</c:v>
                </c:pt>
                <c:pt idx="1">
                  <c:v>8</c:v>
                </c:pt>
                <c:pt idx="2">
                  <c:v>8</c:v>
                </c:pt>
              </c:numCache>
            </c:numRef>
          </c:val>
          <c:extLst>
            <c:ext xmlns:c16="http://schemas.microsoft.com/office/drawing/2014/chart" uri="{C3380CC4-5D6E-409C-BE32-E72D297353CC}">
              <c16:uniqueId val="{00000000-4954-A446-B5AF-8D2C0EF56E4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Policy mix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BD2-4251-8E20-D7484DDF65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BD2-4251-8E20-D7484DDF65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BD2-4251-8E20-D7484DDF65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BD2-4251-8E20-D7484DDF65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BD2-4251-8E20-D7484DDF650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BD2-4251-8E20-D7484DDF650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BD2-4251-8E20-D7484DDF650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BD2-4251-8E20-D7484DDF650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BD2-4251-8E20-D7484DDF65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'2_MetaAnalysis'!$A$85:$A$93</c:f>
              <c:strCache>
                <c:ptCount val="9"/>
                <c:pt idx="0">
                  <c:v>Investment</c:v>
                </c:pt>
                <c:pt idx="1">
                  <c:v>Information</c:v>
                </c:pt>
                <c:pt idx="2">
                  <c:v>Partnership</c:v>
                </c:pt>
                <c:pt idx="3">
                  <c:v>Regulatory</c:v>
                </c:pt>
                <c:pt idx="4">
                  <c:v>Voluntary</c:v>
                </c:pt>
                <c:pt idx="5">
                  <c:v>Market</c:v>
                </c:pt>
                <c:pt idx="6">
                  <c:v>Fiscal</c:v>
                </c:pt>
                <c:pt idx="7">
                  <c:v>?</c:v>
                </c:pt>
                <c:pt idx="8">
                  <c:v>Various / other</c:v>
                </c:pt>
              </c:strCache>
            </c:strRef>
          </c:cat>
          <c:val>
            <c:numRef>
              <c:f>'2_MetaAnalysis'!$B$85:$B$93</c:f>
              <c:numCache>
                <c:formatCode>General</c:formatCode>
                <c:ptCount val="9"/>
                <c:pt idx="0">
                  <c:v>77</c:v>
                </c:pt>
                <c:pt idx="1">
                  <c:v>22</c:v>
                </c:pt>
                <c:pt idx="2">
                  <c:v>14</c:v>
                </c:pt>
                <c:pt idx="3">
                  <c:v>31</c:v>
                </c:pt>
                <c:pt idx="4">
                  <c:v>2</c:v>
                </c:pt>
                <c:pt idx="5">
                  <c:v>4</c:v>
                </c:pt>
                <c:pt idx="6">
                  <c:v>15</c:v>
                </c:pt>
                <c:pt idx="7">
                  <c:v>16</c:v>
                </c:pt>
                <c:pt idx="8">
                  <c:v>25</c:v>
                </c:pt>
              </c:numCache>
            </c:numRef>
          </c:val>
          <c:extLst>
            <c:ext xmlns:c16="http://schemas.microsoft.com/office/drawing/2014/chart" uri="{C3380CC4-5D6E-409C-BE32-E72D297353CC}">
              <c16:uniqueId val="{00000000-100D-4CBD-B0D5-3CCDC0F6FD8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Policy mix demand side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FEC-42CF-BC57-E5B9ABF443E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FEC-42CF-BC57-E5B9ABF443E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FEC-42CF-BC57-E5B9ABF443E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FEC-42CF-BC57-E5B9ABF443E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FEC-42CF-BC57-E5B9ABF443E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FEC-42CF-BC57-E5B9ABF443E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EC-42CF-BC57-E5B9ABF443E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FEC-42CF-BC57-E5B9ABF443E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FEC-42CF-BC57-E5B9ABF443E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'2_MetaAnalysis'!$A$85:$A$93</c:f>
              <c:strCache>
                <c:ptCount val="9"/>
                <c:pt idx="0">
                  <c:v>Investment</c:v>
                </c:pt>
                <c:pt idx="1">
                  <c:v>Information</c:v>
                </c:pt>
                <c:pt idx="2">
                  <c:v>Partnership</c:v>
                </c:pt>
                <c:pt idx="3">
                  <c:v>Regulatory</c:v>
                </c:pt>
                <c:pt idx="4">
                  <c:v>Voluntary</c:v>
                </c:pt>
                <c:pt idx="5">
                  <c:v>Market</c:v>
                </c:pt>
                <c:pt idx="6">
                  <c:v>Fiscal</c:v>
                </c:pt>
                <c:pt idx="7">
                  <c:v>?</c:v>
                </c:pt>
                <c:pt idx="8">
                  <c:v>Various / other</c:v>
                </c:pt>
              </c:strCache>
            </c:strRef>
          </c:cat>
          <c:val>
            <c:numRef>
              <c:f>'2_MetaAnalysis'!$D$85:$D$93</c:f>
              <c:numCache>
                <c:formatCode>General</c:formatCode>
                <c:ptCount val="9"/>
                <c:pt idx="0">
                  <c:v>13</c:v>
                </c:pt>
                <c:pt idx="1">
                  <c:v>12</c:v>
                </c:pt>
                <c:pt idx="2">
                  <c:v>0</c:v>
                </c:pt>
                <c:pt idx="3">
                  <c:v>9</c:v>
                </c:pt>
                <c:pt idx="4">
                  <c:v>0</c:v>
                </c:pt>
                <c:pt idx="5">
                  <c:v>3</c:v>
                </c:pt>
                <c:pt idx="6">
                  <c:v>3</c:v>
                </c:pt>
                <c:pt idx="7">
                  <c:v>4</c:v>
                </c:pt>
                <c:pt idx="8">
                  <c:v>8</c:v>
                </c:pt>
              </c:numCache>
            </c:numRef>
          </c:val>
          <c:extLst>
            <c:ext xmlns:c16="http://schemas.microsoft.com/office/drawing/2014/chart" uri="{C3380CC4-5D6E-409C-BE32-E72D297353CC}">
              <c16:uniqueId val="{00000000-0006-4E69-9901-963E9BAAF86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3"/>
              </a:solidFill>
              <a:ln>
                <a:noFill/>
              </a:ln>
              <a:effectLst/>
            </c:spPr>
            <c:extLst>
              <c:ext xmlns:c16="http://schemas.microsoft.com/office/drawing/2014/chart" uri="{C3380CC4-5D6E-409C-BE32-E72D297353CC}">
                <c16:uniqueId val="{00000006-E7DE-4BAB-8BEA-A522383055F0}"/>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7-E7DE-4BAB-8BEA-A522383055F0}"/>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8-E7DE-4BAB-8BEA-A522383055F0}"/>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E7DE-4BAB-8BEA-A522383055F0}"/>
              </c:ext>
            </c:extLst>
          </c:dPt>
          <c:dLbls>
            <c:dLbl>
              <c:idx val="0"/>
              <c:tx>
                <c:rich>
                  <a:bodyPr/>
                  <a:lstStyle/>
                  <a:p>
                    <a:fld id="{347F542B-18AA-453D-8C87-CE421E2D8425}"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7DE-4BAB-8BEA-A522383055F0}"/>
                </c:ext>
              </c:extLst>
            </c:dLbl>
            <c:dLbl>
              <c:idx val="1"/>
              <c:tx>
                <c:rich>
                  <a:bodyPr/>
                  <a:lstStyle/>
                  <a:p>
                    <a:fld id="{699D98EB-6071-40C1-B978-52307805EF6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7DE-4BAB-8BEA-A522383055F0}"/>
                </c:ext>
              </c:extLst>
            </c:dLbl>
            <c:dLbl>
              <c:idx val="2"/>
              <c:tx>
                <c:rich>
                  <a:bodyPr/>
                  <a:lstStyle/>
                  <a:p>
                    <a:fld id="{BB418408-C057-4E1B-869E-BCA9CF8A236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7DE-4BAB-8BEA-A522383055F0}"/>
                </c:ext>
              </c:extLst>
            </c:dLbl>
            <c:dLbl>
              <c:idx val="3"/>
              <c:tx>
                <c:rich>
                  <a:bodyPr/>
                  <a:lstStyle/>
                  <a:p>
                    <a:fld id="{BA39DFEE-07E0-4914-813C-1CD58515993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7DE-4BAB-8BEA-A522383055F0}"/>
                </c:ext>
              </c:extLst>
            </c:dLbl>
            <c:dLbl>
              <c:idx val="4"/>
              <c:tx>
                <c:rich>
                  <a:bodyPr/>
                  <a:lstStyle/>
                  <a:p>
                    <a:fld id="{3E16CF86-D98C-4EE6-8ECD-308AEF776DF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7DE-4BAB-8BEA-A522383055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'2_MetaAnalysis'!$J$5:$N$5</c:f>
              <c:strCache>
                <c:ptCount val="5"/>
                <c:pt idx="0">
                  <c:v>Timescales</c:v>
                </c:pt>
                <c:pt idx="1">
                  <c:v>Funding</c:v>
                </c:pt>
                <c:pt idx="2">
                  <c:v>Department</c:v>
                </c:pt>
                <c:pt idx="3">
                  <c:v>Specific targets</c:v>
                </c:pt>
                <c:pt idx="4">
                  <c:v>Obligations</c:v>
                </c:pt>
              </c:strCache>
            </c:strRef>
          </c:cat>
          <c:val>
            <c:numRef>
              <c:f>'2_MetaAnalysis'!$J$13:$N$13</c:f>
              <c:numCache>
                <c:formatCode>0%</c:formatCode>
                <c:ptCount val="5"/>
                <c:pt idx="0">
                  <c:v>0.63592233009708743</c:v>
                </c:pt>
                <c:pt idx="1">
                  <c:v>0.26699029126213591</c:v>
                </c:pt>
                <c:pt idx="2">
                  <c:v>0.32038834951456313</c:v>
                </c:pt>
                <c:pt idx="3">
                  <c:v>0.40776699029126212</c:v>
                </c:pt>
                <c:pt idx="4">
                  <c:v>0.28155339805825241</c:v>
                </c:pt>
              </c:numCache>
            </c:numRef>
          </c:val>
          <c:extLst>
            <c:ext xmlns:c15="http://schemas.microsoft.com/office/drawing/2012/chart" uri="{02D57815-91ED-43cb-92C2-25804820EDAC}">
              <c15:datalabelsRange>
                <c15:f>'2_MetaAnalysis'!$J$12:$N$12</c15:f>
                <c15:dlblRangeCache>
                  <c:ptCount val="5"/>
                  <c:pt idx="0">
                    <c:v>131</c:v>
                  </c:pt>
                  <c:pt idx="1">
                    <c:v>55</c:v>
                  </c:pt>
                  <c:pt idx="2">
                    <c:v>66</c:v>
                  </c:pt>
                  <c:pt idx="3">
                    <c:v>84</c:v>
                  </c:pt>
                  <c:pt idx="4">
                    <c:v>58</c:v>
                  </c:pt>
                </c15:dlblRangeCache>
              </c15:datalabelsRange>
            </c:ext>
            <c:ext xmlns:c16="http://schemas.microsoft.com/office/drawing/2014/chart" uri="{C3380CC4-5D6E-409C-BE32-E72D297353CC}">
              <c16:uniqueId val="{00000000-E7DE-4BAB-8BEA-A522383055F0}"/>
            </c:ext>
          </c:extLst>
        </c:ser>
        <c:dLbls>
          <c:showLegendKey val="0"/>
          <c:showVal val="0"/>
          <c:showCatName val="0"/>
          <c:showSerName val="0"/>
          <c:showPercent val="0"/>
          <c:showBubbleSize val="0"/>
        </c:dLbls>
        <c:gapWidth val="219"/>
        <c:overlap val="-27"/>
        <c:axId val="169603072"/>
        <c:axId val="169604608"/>
      </c:barChart>
      <c:catAx>
        <c:axId val="16960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04608"/>
        <c:crosses val="autoZero"/>
        <c:auto val="1"/>
        <c:lblAlgn val="ctr"/>
        <c:lblOffset val="100"/>
        <c:noMultiLvlLbl val="0"/>
      </c:catAx>
      <c:valAx>
        <c:axId val="169604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03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'2_MetaAnalysis'!$A$6</c:f>
              <c:strCache>
                <c:ptCount val="1"/>
                <c:pt idx="0">
                  <c:v>Industry and Business</c:v>
                </c:pt>
              </c:strCache>
            </c:strRef>
          </c:tx>
          <c:spPr>
            <a:solidFill>
              <a:schemeClr val="accent5">
                <a:lumMod val="75000"/>
              </a:schemeClr>
            </a:solidFill>
            <a:ln>
              <a:noFill/>
            </a:ln>
            <a:effectLst/>
          </c:spPr>
          <c:invertIfNegative val="0"/>
          <c:cat>
            <c:strRef>
              <c:f>'2_MetaAnalysis'!$J$5:$N$5</c:f>
              <c:strCache>
                <c:ptCount val="5"/>
                <c:pt idx="0">
                  <c:v>Timescales</c:v>
                </c:pt>
                <c:pt idx="1">
                  <c:v>Funding</c:v>
                </c:pt>
                <c:pt idx="2">
                  <c:v>Department</c:v>
                </c:pt>
                <c:pt idx="3">
                  <c:v>Specific targets</c:v>
                </c:pt>
                <c:pt idx="4">
                  <c:v>Obligations</c:v>
                </c:pt>
              </c:strCache>
            </c:strRef>
          </c:cat>
          <c:val>
            <c:numRef>
              <c:f>'2_MetaAnalysis'!$J$16:$N$16</c:f>
              <c:numCache>
                <c:formatCode>0%</c:formatCode>
                <c:ptCount val="5"/>
                <c:pt idx="0">
                  <c:v>0.58620689655172409</c:v>
                </c:pt>
                <c:pt idx="1">
                  <c:v>0.13793103448275862</c:v>
                </c:pt>
                <c:pt idx="2">
                  <c:v>0.44827586206896552</c:v>
                </c:pt>
                <c:pt idx="3">
                  <c:v>0.41379310344827586</c:v>
                </c:pt>
                <c:pt idx="4">
                  <c:v>0.37931034482758619</c:v>
                </c:pt>
              </c:numCache>
            </c:numRef>
          </c:val>
          <c:extLst>
            <c:ext xmlns:c16="http://schemas.microsoft.com/office/drawing/2014/chart" uri="{C3380CC4-5D6E-409C-BE32-E72D297353CC}">
              <c16:uniqueId val="{00000000-8A88-477B-8CDB-E8889803A584}"/>
            </c:ext>
          </c:extLst>
        </c:ser>
        <c:ser>
          <c:idx val="1"/>
          <c:order val="1"/>
          <c:tx>
            <c:strRef>
              <c:f>'2_MetaAnalysis'!$A$7</c:f>
              <c:strCache>
                <c:ptCount val="1"/>
                <c:pt idx="0">
                  <c:v>Improving Homes</c:v>
                </c:pt>
              </c:strCache>
            </c:strRef>
          </c:tx>
          <c:spPr>
            <a:solidFill>
              <a:schemeClr val="accent2">
                <a:lumMod val="75000"/>
              </a:schemeClr>
            </a:solidFill>
            <a:ln>
              <a:noFill/>
            </a:ln>
            <a:effectLst/>
          </c:spPr>
          <c:invertIfNegative val="0"/>
          <c:cat>
            <c:strRef>
              <c:f>'2_MetaAnalysis'!$J$5:$N$5</c:f>
              <c:strCache>
                <c:ptCount val="5"/>
                <c:pt idx="0">
                  <c:v>Timescales</c:v>
                </c:pt>
                <c:pt idx="1">
                  <c:v>Funding</c:v>
                </c:pt>
                <c:pt idx="2">
                  <c:v>Department</c:v>
                </c:pt>
                <c:pt idx="3">
                  <c:v>Specific targets</c:v>
                </c:pt>
                <c:pt idx="4">
                  <c:v>Obligations</c:v>
                </c:pt>
              </c:strCache>
            </c:strRef>
          </c:cat>
          <c:val>
            <c:numRef>
              <c:f>'2_MetaAnalysis'!$J$17:$N$17</c:f>
              <c:numCache>
                <c:formatCode>0%</c:formatCode>
                <c:ptCount val="5"/>
                <c:pt idx="0">
                  <c:v>0.7</c:v>
                </c:pt>
                <c:pt idx="1">
                  <c:v>0.3</c:v>
                </c:pt>
                <c:pt idx="2">
                  <c:v>0.375</c:v>
                </c:pt>
                <c:pt idx="3">
                  <c:v>0.4</c:v>
                </c:pt>
                <c:pt idx="4">
                  <c:v>0.32500000000000001</c:v>
                </c:pt>
              </c:numCache>
            </c:numRef>
          </c:val>
          <c:extLst>
            <c:ext xmlns:c16="http://schemas.microsoft.com/office/drawing/2014/chart" uri="{C3380CC4-5D6E-409C-BE32-E72D297353CC}">
              <c16:uniqueId val="{00000001-8A88-477B-8CDB-E8889803A584}"/>
            </c:ext>
          </c:extLst>
        </c:ser>
        <c:ser>
          <c:idx val="2"/>
          <c:order val="2"/>
          <c:tx>
            <c:strRef>
              <c:f>'2_MetaAnalysis'!$A$8</c:f>
              <c:strCache>
                <c:ptCount val="1"/>
                <c:pt idx="0">
                  <c:v>Low Carbon Transport</c:v>
                </c:pt>
              </c:strCache>
            </c:strRef>
          </c:tx>
          <c:spPr>
            <a:solidFill>
              <a:schemeClr val="accent4">
                <a:lumMod val="75000"/>
              </a:schemeClr>
            </a:solidFill>
            <a:ln>
              <a:noFill/>
            </a:ln>
            <a:effectLst/>
          </c:spPr>
          <c:invertIfNegative val="0"/>
          <c:cat>
            <c:strRef>
              <c:f>'2_MetaAnalysis'!$J$5:$N$5</c:f>
              <c:strCache>
                <c:ptCount val="5"/>
                <c:pt idx="0">
                  <c:v>Timescales</c:v>
                </c:pt>
                <c:pt idx="1">
                  <c:v>Funding</c:v>
                </c:pt>
                <c:pt idx="2">
                  <c:v>Department</c:v>
                </c:pt>
                <c:pt idx="3">
                  <c:v>Specific targets</c:v>
                </c:pt>
                <c:pt idx="4">
                  <c:v>Obligations</c:v>
                </c:pt>
              </c:strCache>
            </c:strRef>
          </c:cat>
          <c:val>
            <c:numRef>
              <c:f>'2_MetaAnalysis'!$J$18:$N$18</c:f>
              <c:numCache>
                <c:formatCode>0%</c:formatCode>
                <c:ptCount val="5"/>
                <c:pt idx="0">
                  <c:v>0.72</c:v>
                </c:pt>
                <c:pt idx="1">
                  <c:v>0.34</c:v>
                </c:pt>
                <c:pt idx="2">
                  <c:v>0.22</c:v>
                </c:pt>
                <c:pt idx="3">
                  <c:v>0.32</c:v>
                </c:pt>
                <c:pt idx="4">
                  <c:v>0.18</c:v>
                </c:pt>
              </c:numCache>
            </c:numRef>
          </c:val>
          <c:extLst>
            <c:ext xmlns:c16="http://schemas.microsoft.com/office/drawing/2014/chart" uri="{C3380CC4-5D6E-409C-BE32-E72D297353CC}">
              <c16:uniqueId val="{00000002-8A88-477B-8CDB-E8889803A584}"/>
            </c:ext>
          </c:extLst>
        </c:ser>
        <c:ser>
          <c:idx val="3"/>
          <c:order val="3"/>
          <c:tx>
            <c:strRef>
              <c:f>'2_MetaAnalysis'!$A$9</c:f>
              <c:strCache>
                <c:ptCount val="1"/>
                <c:pt idx="0">
                  <c:v>Clean, Smart and Flexible Power</c:v>
                </c:pt>
              </c:strCache>
            </c:strRef>
          </c:tx>
          <c:spPr>
            <a:solidFill>
              <a:schemeClr val="accent6">
                <a:lumMod val="75000"/>
              </a:schemeClr>
            </a:solidFill>
            <a:ln>
              <a:noFill/>
            </a:ln>
            <a:effectLst/>
          </c:spPr>
          <c:invertIfNegative val="0"/>
          <c:cat>
            <c:strRef>
              <c:f>'2_MetaAnalysis'!$J$5:$N$5</c:f>
              <c:strCache>
                <c:ptCount val="5"/>
                <c:pt idx="0">
                  <c:v>Timescales</c:v>
                </c:pt>
                <c:pt idx="1">
                  <c:v>Funding</c:v>
                </c:pt>
                <c:pt idx="2">
                  <c:v>Department</c:v>
                </c:pt>
                <c:pt idx="3">
                  <c:v>Specific targets</c:v>
                </c:pt>
                <c:pt idx="4">
                  <c:v>Obligations</c:v>
                </c:pt>
              </c:strCache>
            </c:strRef>
          </c:cat>
          <c:val>
            <c:numRef>
              <c:f>'2_MetaAnalysis'!$J$19:$N$19</c:f>
              <c:numCache>
                <c:formatCode>0%</c:formatCode>
                <c:ptCount val="5"/>
                <c:pt idx="0">
                  <c:v>0.62962962962962965</c:v>
                </c:pt>
                <c:pt idx="1">
                  <c:v>0.37037037037037035</c:v>
                </c:pt>
                <c:pt idx="2">
                  <c:v>0.33333333333333331</c:v>
                </c:pt>
                <c:pt idx="3">
                  <c:v>0.40740740740740738</c:v>
                </c:pt>
                <c:pt idx="4">
                  <c:v>0.29629629629629628</c:v>
                </c:pt>
              </c:numCache>
            </c:numRef>
          </c:val>
          <c:extLst>
            <c:ext xmlns:c16="http://schemas.microsoft.com/office/drawing/2014/chart" uri="{C3380CC4-5D6E-409C-BE32-E72D297353CC}">
              <c16:uniqueId val="{00000003-8A88-477B-8CDB-E8889803A584}"/>
            </c:ext>
          </c:extLst>
        </c:ser>
        <c:ser>
          <c:idx val="4"/>
          <c:order val="4"/>
          <c:tx>
            <c:strRef>
              <c:f>'2_MetaAnalysis'!$A$10</c:f>
              <c:strCache>
                <c:ptCount val="1"/>
                <c:pt idx="0">
                  <c:v>Natural Resources</c:v>
                </c:pt>
              </c:strCache>
            </c:strRef>
          </c:tx>
          <c:spPr>
            <a:solidFill>
              <a:schemeClr val="tx1">
                <a:lumMod val="85000"/>
                <a:lumOff val="15000"/>
              </a:schemeClr>
            </a:solidFill>
            <a:ln>
              <a:noFill/>
            </a:ln>
            <a:effectLst/>
          </c:spPr>
          <c:invertIfNegative val="0"/>
          <c:cat>
            <c:strRef>
              <c:f>'2_MetaAnalysis'!$J$5:$N$5</c:f>
              <c:strCache>
                <c:ptCount val="5"/>
                <c:pt idx="0">
                  <c:v>Timescales</c:v>
                </c:pt>
                <c:pt idx="1">
                  <c:v>Funding</c:v>
                </c:pt>
                <c:pt idx="2">
                  <c:v>Department</c:v>
                </c:pt>
                <c:pt idx="3">
                  <c:v>Specific targets</c:v>
                </c:pt>
                <c:pt idx="4">
                  <c:v>Obligations</c:v>
                </c:pt>
              </c:strCache>
            </c:strRef>
          </c:cat>
          <c:val>
            <c:numRef>
              <c:f>'2_MetaAnalysis'!$J$20:$N$20</c:f>
              <c:numCache>
                <c:formatCode>0%</c:formatCode>
                <c:ptCount val="5"/>
                <c:pt idx="0">
                  <c:v>0.54347826086956519</c:v>
                </c:pt>
                <c:pt idx="1">
                  <c:v>0.2391304347826087</c:v>
                </c:pt>
                <c:pt idx="2">
                  <c:v>0.2608695652173913</c:v>
                </c:pt>
                <c:pt idx="3">
                  <c:v>0.58695652173913049</c:v>
                </c:pt>
                <c:pt idx="4">
                  <c:v>0.32608695652173914</c:v>
                </c:pt>
              </c:numCache>
            </c:numRef>
          </c:val>
          <c:extLst>
            <c:ext xmlns:c16="http://schemas.microsoft.com/office/drawing/2014/chart" uri="{C3380CC4-5D6E-409C-BE32-E72D297353CC}">
              <c16:uniqueId val="{00000004-8A88-477B-8CDB-E8889803A584}"/>
            </c:ext>
          </c:extLst>
        </c:ser>
        <c:ser>
          <c:idx val="5"/>
          <c:order val="5"/>
          <c:tx>
            <c:strRef>
              <c:f>'2_MetaAnalysis'!$A$11</c:f>
              <c:strCache>
                <c:ptCount val="1"/>
                <c:pt idx="0">
                  <c:v>Public Sector</c:v>
                </c:pt>
              </c:strCache>
            </c:strRef>
          </c:tx>
          <c:spPr>
            <a:solidFill>
              <a:schemeClr val="accent1">
                <a:lumMod val="75000"/>
              </a:schemeClr>
            </a:solidFill>
            <a:ln>
              <a:noFill/>
            </a:ln>
            <a:effectLst/>
          </c:spPr>
          <c:invertIfNegative val="0"/>
          <c:cat>
            <c:strRef>
              <c:f>'2_MetaAnalysis'!$J$5:$N$5</c:f>
              <c:strCache>
                <c:ptCount val="5"/>
                <c:pt idx="0">
                  <c:v>Timescales</c:v>
                </c:pt>
                <c:pt idx="1">
                  <c:v>Funding</c:v>
                </c:pt>
                <c:pt idx="2">
                  <c:v>Department</c:v>
                </c:pt>
                <c:pt idx="3">
                  <c:v>Specific targets</c:v>
                </c:pt>
                <c:pt idx="4">
                  <c:v>Obligations</c:v>
                </c:pt>
              </c:strCache>
            </c:strRef>
          </c:cat>
          <c:val>
            <c:numRef>
              <c:f>'2_MetaAnalysis'!$J$21:$N$21</c:f>
              <c:numCache>
                <c:formatCode>0%</c:formatCode>
                <c:ptCount val="5"/>
                <c:pt idx="0">
                  <c:v>0.5714285714285714</c:v>
                </c:pt>
                <c:pt idx="1">
                  <c:v>7.1428571428571425E-2</c:v>
                </c:pt>
                <c:pt idx="2">
                  <c:v>0.42857142857142855</c:v>
                </c:pt>
                <c:pt idx="3">
                  <c:v>0.14285714285714285</c:v>
                </c:pt>
                <c:pt idx="4">
                  <c:v>0.14285714285714285</c:v>
                </c:pt>
              </c:numCache>
            </c:numRef>
          </c:val>
          <c:extLst>
            <c:ext xmlns:c16="http://schemas.microsoft.com/office/drawing/2014/chart" uri="{C3380CC4-5D6E-409C-BE32-E72D297353CC}">
              <c16:uniqueId val="{00000005-8A88-477B-8CDB-E8889803A584}"/>
            </c:ext>
          </c:extLst>
        </c:ser>
        <c:dLbls>
          <c:showLegendKey val="0"/>
          <c:showVal val="0"/>
          <c:showCatName val="0"/>
          <c:showSerName val="0"/>
          <c:showPercent val="0"/>
          <c:showBubbleSize val="0"/>
        </c:dLbls>
        <c:gapWidth val="219"/>
        <c:overlap val="-27"/>
        <c:axId val="169741312"/>
        <c:axId val="169751296"/>
      </c:barChart>
      <c:catAx>
        <c:axId val="16974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51296"/>
        <c:crosses val="autoZero"/>
        <c:auto val="1"/>
        <c:lblAlgn val="ctr"/>
        <c:lblOffset val="100"/>
        <c:noMultiLvlLbl val="0"/>
      </c:catAx>
      <c:valAx>
        <c:axId val="169751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41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Policy mix</a:t>
            </a:r>
            <a:r>
              <a:rPr lang="en-GB" baseline="0"/>
              <a:t> per sector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'2_MetaAnalysis'!$A$6</c:f>
              <c:strCache>
                <c:ptCount val="1"/>
                <c:pt idx="0">
                  <c:v>Industry and Business</c:v>
                </c:pt>
              </c:strCache>
            </c:strRef>
          </c:tx>
          <c:spPr>
            <a:solidFill>
              <a:schemeClr val="accent1"/>
            </a:solidFill>
            <a:ln>
              <a:noFill/>
            </a:ln>
            <a:effectLst/>
          </c:spPr>
          <c:invertIfNegative val="0"/>
          <c:cat>
            <c:strRef>
              <c:f>'2_MetaAnalysis'!$R$5:$Z$5</c:f>
              <c:strCache>
                <c:ptCount val="9"/>
                <c:pt idx="0">
                  <c:v>Investment</c:v>
                </c:pt>
                <c:pt idx="1">
                  <c:v>Information</c:v>
                </c:pt>
                <c:pt idx="2">
                  <c:v>Partnership</c:v>
                </c:pt>
                <c:pt idx="3">
                  <c:v>Regulatory</c:v>
                </c:pt>
                <c:pt idx="4">
                  <c:v>Voluntary</c:v>
                </c:pt>
                <c:pt idx="5">
                  <c:v>Market</c:v>
                </c:pt>
                <c:pt idx="6">
                  <c:v>Fiscal</c:v>
                </c:pt>
                <c:pt idx="7">
                  <c:v>?</c:v>
                </c:pt>
                <c:pt idx="8">
                  <c:v>Various / other</c:v>
                </c:pt>
              </c:strCache>
            </c:strRef>
          </c:cat>
          <c:val>
            <c:numRef>
              <c:f>'2_MetaAnalysis'!$R$16:$Z$16</c:f>
              <c:numCache>
                <c:formatCode>0%</c:formatCode>
                <c:ptCount val="9"/>
                <c:pt idx="0">
                  <c:v>0.17241379310344829</c:v>
                </c:pt>
                <c:pt idx="1">
                  <c:v>0.2413793103448276</c:v>
                </c:pt>
                <c:pt idx="2">
                  <c:v>3.4482758620689655E-2</c:v>
                </c:pt>
                <c:pt idx="3">
                  <c:v>0.13793103448275862</c:v>
                </c:pt>
                <c:pt idx="4">
                  <c:v>0</c:v>
                </c:pt>
                <c:pt idx="5">
                  <c:v>0</c:v>
                </c:pt>
                <c:pt idx="6">
                  <c:v>0.17241379310344829</c:v>
                </c:pt>
                <c:pt idx="7">
                  <c:v>6.8965517241379309E-2</c:v>
                </c:pt>
                <c:pt idx="8">
                  <c:v>0.17241379310344829</c:v>
                </c:pt>
              </c:numCache>
            </c:numRef>
          </c:val>
          <c:extLst>
            <c:ext xmlns:c16="http://schemas.microsoft.com/office/drawing/2014/chart" uri="{C3380CC4-5D6E-409C-BE32-E72D297353CC}">
              <c16:uniqueId val="{00000000-B3B9-4AA6-A5DF-41A40E2299CA}"/>
            </c:ext>
          </c:extLst>
        </c:ser>
        <c:ser>
          <c:idx val="1"/>
          <c:order val="1"/>
          <c:tx>
            <c:strRef>
              <c:f>'2_MetaAnalysis'!$A$7</c:f>
              <c:strCache>
                <c:ptCount val="1"/>
                <c:pt idx="0">
                  <c:v>Improving Homes</c:v>
                </c:pt>
              </c:strCache>
            </c:strRef>
          </c:tx>
          <c:spPr>
            <a:solidFill>
              <a:schemeClr val="accent2"/>
            </a:solidFill>
            <a:ln>
              <a:noFill/>
            </a:ln>
            <a:effectLst/>
          </c:spPr>
          <c:invertIfNegative val="0"/>
          <c:cat>
            <c:strRef>
              <c:f>'2_MetaAnalysis'!$R$5:$Z$5</c:f>
              <c:strCache>
                <c:ptCount val="9"/>
                <c:pt idx="0">
                  <c:v>Investment</c:v>
                </c:pt>
                <c:pt idx="1">
                  <c:v>Information</c:v>
                </c:pt>
                <c:pt idx="2">
                  <c:v>Partnership</c:v>
                </c:pt>
                <c:pt idx="3">
                  <c:v>Regulatory</c:v>
                </c:pt>
                <c:pt idx="4">
                  <c:v>Voluntary</c:v>
                </c:pt>
                <c:pt idx="5">
                  <c:v>Market</c:v>
                </c:pt>
                <c:pt idx="6">
                  <c:v>Fiscal</c:v>
                </c:pt>
                <c:pt idx="7">
                  <c:v>?</c:v>
                </c:pt>
                <c:pt idx="8">
                  <c:v>Various / other</c:v>
                </c:pt>
              </c:strCache>
            </c:strRef>
          </c:cat>
          <c:val>
            <c:numRef>
              <c:f>'2_MetaAnalysis'!$R$17:$Z$17</c:f>
              <c:numCache>
                <c:formatCode>0%</c:formatCode>
                <c:ptCount val="9"/>
                <c:pt idx="0">
                  <c:v>0.35</c:v>
                </c:pt>
                <c:pt idx="1">
                  <c:v>0.17499999999999999</c:v>
                </c:pt>
                <c:pt idx="2">
                  <c:v>0</c:v>
                </c:pt>
                <c:pt idx="3">
                  <c:v>0.17499999999999999</c:v>
                </c:pt>
                <c:pt idx="4">
                  <c:v>0</c:v>
                </c:pt>
                <c:pt idx="5">
                  <c:v>0.05</c:v>
                </c:pt>
                <c:pt idx="6">
                  <c:v>2.5000000000000001E-2</c:v>
                </c:pt>
                <c:pt idx="7">
                  <c:v>0.05</c:v>
                </c:pt>
                <c:pt idx="8">
                  <c:v>0.17499999999999999</c:v>
                </c:pt>
              </c:numCache>
            </c:numRef>
          </c:val>
          <c:extLst>
            <c:ext xmlns:c16="http://schemas.microsoft.com/office/drawing/2014/chart" uri="{C3380CC4-5D6E-409C-BE32-E72D297353CC}">
              <c16:uniqueId val="{00000001-B3B9-4AA6-A5DF-41A40E2299CA}"/>
            </c:ext>
          </c:extLst>
        </c:ser>
        <c:ser>
          <c:idx val="2"/>
          <c:order val="2"/>
          <c:tx>
            <c:strRef>
              <c:f>'2_MetaAnalysis'!$A$8</c:f>
              <c:strCache>
                <c:ptCount val="1"/>
                <c:pt idx="0">
                  <c:v>Low Carbon Transport</c:v>
                </c:pt>
              </c:strCache>
            </c:strRef>
          </c:tx>
          <c:spPr>
            <a:solidFill>
              <a:schemeClr val="accent3"/>
            </a:solidFill>
            <a:ln>
              <a:noFill/>
            </a:ln>
            <a:effectLst/>
          </c:spPr>
          <c:invertIfNegative val="0"/>
          <c:cat>
            <c:strRef>
              <c:f>'2_MetaAnalysis'!$R$5:$Z$5</c:f>
              <c:strCache>
                <c:ptCount val="9"/>
                <c:pt idx="0">
                  <c:v>Investment</c:v>
                </c:pt>
                <c:pt idx="1">
                  <c:v>Information</c:v>
                </c:pt>
                <c:pt idx="2">
                  <c:v>Partnership</c:v>
                </c:pt>
                <c:pt idx="3">
                  <c:v>Regulatory</c:v>
                </c:pt>
                <c:pt idx="4">
                  <c:v>Voluntary</c:v>
                </c:pt>
                <c:pt idx="5">
                  <c:v>Market</c:v>
                </c:pt>
                <c:pt idx="6">
                  <c:v>Fiscal</c:v>
                </c:pt>
                <c:pt idx="7">
                  <c:v>?</c:v>
                </c:pt>
                <c:pt idx="8">
                  <c:v>Various / other</c:v>
                </c:pt>
              </c:strCache>
            </c:strRef>
          </c:cat>
          <c:val>
            <c:numRef>
              <c:f>'2_MetaAnalysis'!$R$18:$Z$18</c:f>
              <c:numCache>
                <c:formatCode>0%</c:formatCode>
                <c:ptCount val="9"/>
                <c:pt idx="0">
                  <c:v>0.44</c:v>
                </c:pt>
                <c:pt idx="1">
                  <c:v>0.08</c:v>
                </c:pt>
                <c:pt idx="2">
                  <c:v>0.02</c:v>
                </c:pt>
                <c:pt idx="3">
                  <c:v>0.2</c:v>
                </c:pt>
                <c:pt idx="4">
                  <c:v>0.02</c:v>
                </c:pt>
                <c:pt idx="5">
                  <c:v>0</c:v>
                </c:pt>
                <c:pt idx="6">
                  <c:v>0.02</c:v>
                </c:pt>
                <c:pt idx="7">
                  <c:v>0.1</c:v>
                </c:pt>
                <c:pt idx="8">
                  <c:v>0.12</c:v>
                </c:pt>
              </c:numCache>
            </c:numRef>
          </c:val>
          <c:extLst>
            <c:ext xmlns:c16="http://schemas.microsoft.com/office/drawing/2014/chart" uri="{C3380CC4-5D6E-409C-BE32-E72D297353CC}">
              <c16:uniqueId val="{00000002-B3B9-4AA6-A5DF-41A40E2299CA}"/>
            </c:ext>
          </c:extLst>
        </c:ser>
        <c:ser>
          <c:idx val="3"/>
          <c:order val="3"/>
          <c:tx>
            <c:strRef>
              <c:f>'2_MetaAnalysis'!$A$9</c:f>
              <c:strCache>
                <c:ptCount val="1"/>
                <c:pt idx="0">
                  <c:v>Clean, Smart and Flexible Power</c:v>
                </c:pt>
              </c:strCache>
            </c:strRef>
          </c:tx>
          <c:spPr>
            <a:solidFill>
              <a:schemeClr val="accent4"/>
            </a:solidFill>
            <a:ln>
              <a:noFill/>
            </a:ln>
            <a:effectLst/>
          </c:spPr>
          <c:invertIfNegative val="0"/>
          <c:cat>
            <c:strRef>
              <c:f>'2_MetaAnalysis'!$R$5:$Z$5</c:f>
              <c:strCache>
                <c:ptCount val="9"/>
                <c:pt idx="0">
                  <c:v>Investment</c:v>
                </c:pt>
                <c:pt idx="1">
                  <c:v>Information</c:v>
                </c:pt>
                <c:pt idx="2">
                  <c:v>Partnership</c:v>
                </c:pt>
                <c:pt idx="3">
                  <c:v>Regulatory</c:v>
                </c:pt>
                <c:pt idx="4">
                  <c:v>Voluntary</c:v>
                </c:pt>
                <c:pt idx="5">
                  <c:v>Market</c:v>
                </c:pt>
                <c:pt idx="6">
                  <c:v>Fiscal</c:v>
                </c:pt>
                <c:pt idx="7">
                  <c:v>?</c:v>
                </c:pt>
                <c:pt idx="8">
                  <c:v>Various / other</c:v>
                </c:pt>
              </c:strCache>
            </c:strRef>
          </c:cat>
          <c:val>
            <c:numRef>
              <c:f>'2_MetaAnalysis'!$R$19:$Z$19</c:f>
              <c:numCache>
                <c:formatCode>0%</c:formatCode>
                <c:ptCount val="9"/>
                <c:pt idx="0">
                  <c:v>0.33333333333333331</c:v>
                </c:pt>
                <c:pt idx="1">
                  <c:v>7.407407407407407E-2</c:v>
                </c:pt>
                <c:pt idx="2">
                  <c:v>0.1111111111111111</c:v>
                </c:pt>
                <c:pt idx="3">
                  <c:v>0.18518518518518517</c:v>
                </c:pt>
                <c:pt idx="4">
                  <c:v>0</c:v>
                </c:pt>
                <c:pt idx="5">
                  <c:v>3.7037037037037035E-2</c:v>
                </c:pt>
                <c:pt idx="6">
                  <c:v>3.7037037037037035E-2</c:v>
                </c:pt>
                <c:pt idx="7">
                  <c:v>0.1111111111111111</c:v>
                </c:pt>
                <c:pt idx="8">
                  <c:v>0.1111111111111111</c:v>
                </c:pt>
              </c:numCache>
            </c:numRef>
          </c:val>
          <c:extLst>
            <c:ext xmlns:c16="http://schemas.microsoft.com/office/drawing/2014/chart" uri="{C3380CC4-5D6E-409C-BE32-E72D297353CC}">
              <c16:uniqueId val="{00000003-B3B9-4AA6-A5DF-41A40E2299CA}"/>
            </c:ext>
          </c:extLst>
        </c:ser>
        <c:ser>
          <c:idx val="4"/>
          <c:order val="4"/>
          <c:tx>
            <c:strRef>
              <c:f>'2_MetaAnalysis'!$A$10</c:f>
              <c:strCache>
                <c:ptCount val="1"/>
                <c:pt idx="0">
                  <c:v>Natural Resources</c:v>
                </c:pt>
              </c:strCache>
            </c:strRef>
          </c:tx>
          <c:spPr>
            <a:solidFill>
              <a:schemeClr val="accent5"/>
            </a:solidFill>
            <a:ln>
              <a:noFill/>
            </a:ln>
            <a:effectLst/>
          </c:spPr>
          <c:invertIfNegative val="0"/>
          <c:cat>
            <c:strRef>
              <c:f>'2_MetaAnalysis'!$R$5:$Z$5</c:f>
              <c:strCache>
                <c:ptCount val="9"/>
                <c:pt idx="0">
                  <c:v>Investment</c:v>
                </c:pt>
                <c:pt idx="1">
                  <c:v>Information</c:v>
                </c:pt>
                <c:pt idx="2">
                  <c:v>Partnership</c:v>
                </c:pt>
                <c:pt idx="3">
                  <c:v>Regulatory</c:v>
                </c:pt>
                <c:pt idx="4">
                  <c:v>Voluntary</c:v>
                </c:pt>
                <c:pt idx="5">
                  <c:v>Market</c:v>
                </c:pt>
                <c:pt idx="6">
                  <c:v>Fiscal</c:v>
                </c:pt>
                <c:pt idx="7">
                  <c:v>?</c:v>
                </c:pt>
                <c:pt idx="8">
                  <c:v>Various / other</c:v>
                </c:pt>
              </c:strCache>
            </c:strRef>
          </c:cat>
          <c:val>
            <c:numRef>
              <c:f>'2_MetaAnalysis'!$R$20:$Z$20</c:f>
              <c:numCache>
                <c:formatCode>0%</c:formatCode>
                <c:ptCount val="9"/>
                <c:pt idx="0">
                  <c:v>0.47826086956521741</c:v>
                </c:pt>
                <c:pt idx="1">
                  <c:v>4.3478260869565216E-2</c:v>
                </c:pt>
                <c:pt idx="2">
                  <c:v>0.13043478260869565</c:v>
                </c:pt>
                <c:pt idx="3">
                  <c:v>4.3478260869565216E-2</c:v>
                </c:pt>
                <c:pt idx="4">
                  <c:v>0</c:v>
                </c:pt>
                <c:pt idx="5">
                  <c:v>2.1739130434782608E-2</c:v>
                </c:pt>
                <c:pt idx="6">
                  <c:v>0.15217391304347827</c:v>
                </c:pt>
                <c:pt idx="7">
                  <c:v>8.6956521739130432E-2</c:v>
                </c:pt>
                <c:pt idx="8">
                  <c:v>4.3478260869565216E-2</c:v>
                </c:pt>
              </c:numCache>
            </c:numRef>
          </c:val>
          <c:extLst>
            <c:ext xmlns:c16="http://schemas.microsoft.com/office/drawing/2014/chart" uri="{C3380CC4-5D6E-409C-BE32-E72D297353CC}">
              <c16:uniqueId val="{00000004-B3B9-4AA6-A5DF-41A40E2299CA}"/>
            </c:ext>
          </c:extLst>
        </c:ser>
        <c:ser>
          <c:idx val="5"/>
          <c:order val="5"/>
          <c:tx>
            <c:strRef>
              <c:f>'2_MetaAnalysis'!$A$11</c:f>
              <c:strCache>
                <c:ptCount val="1"/>
                <c:pt idx="0">
                  <c:v>Public Sector</c:v>
                </c:pt>
              </c:strCache>
            </c:strRef>
          </c:tx>
          <c:spPr>
            <a:solidFill>
              <a:schemeClr val="accent6"/>
            </a:solidFill>
            <a:ln>
              <a:noFill/>
            </a:ln>
            <a:effectLst/>
          </c:spPr>
          <c:invertIfNegative val="0"/>
          <c:cat>
            <c:strRef>
              <c:f>'2_MetaAnalysis'!$R$5:$Z$5</c:f>
              <c:strCache>
                <c:ptCount val="9"/>
                <c:pt idx="0">
                  <c:v>Investment</c:v>
                </c:pt>
                <c:pt idx="1">
                  <c:v>Information</c:v>
                </c:pt>
                <c:pt idx="2">
                  <c:v>Partnership</c:v>
                </c:pt>
                <c:pt idx="3">
                  <c:v>Regulatory</c:v>
                </c:pt>
                <c:pt idx="4">
                  <c:v>Voluntary</c:v>
                </c:pt>
                <c:pt idx="5">
                  <c:v>Market</c:v>
                </c:pt>
                <c:pt idx="6">
                  <c:v>Fiscal</c:v>
                </c:pt>
                <c:pt idx="7">
                  <c:v>?</c:v>
                </c:pt>
                <c:pt idx="8">
                  <c:v>Various / other</c:v>
                </c:pt>
              </c:strCache>
            </c:strRef>
          </c:cat>
          <c:val>
            <c:numRef>
              <c:f>'2_MetaAnalysis'!$R$21:$Z$21</c:f>
              <c:numCache>
                <c:formatCode>0%</c:formatCode>
                <c:ptCount val="9"/>
                <c:pt idx="0">
                  <c:v>0.35714285714285715</c:v>
                </c:pt>
                <c:pt idx="1">
                  <c:v>0</c:v>
                </c:pt>
                <c:pt idx="2">
                  <c:v>0.21428571428571427</c:v>
                </c:pt>
                <c:pt idx="3">
                  <c:v>0.21428571428571427</c:v>
                </c:pt>
                <c:pt idx="4">
                  <c:v>7.1428571428571425E-2</c:v>
                </c:pt>
                <c:pt idx="5">
                  <c:v>0</c:v>
                </c:pt>
                <c:pt idx="6">
                  <c:v>0</c:v>
                </c:pt>
                <c:pt idx="7">
                  <c:v>0</c:v>
                </c:pt>
                <c:pt idx="8">
                  <c:v>0.14285714285714285</c:v>
                </c:pt>
              </c:numCache>
            </c:numRef>
          </c:val>
          <c:extLst>
            <c:ext xmlns:c16="http://schemas.microsoft.com/office/drawing/2014/chart" uri="{C3380CC4-5D6E-409C-BE32-E72D297353CC}">
              <c16:uniqueId val="{00000005-B3B9-4AA6-A5DF-41A40E2299CA}"/>
            </c:ext>
          </c:extLst>
        </c:ser>
        <c:dLbls>
          <c:showLegendKey val="0"/>
          <c:showVal val="0"/>
          <c:showCatName val="0"/>
          <c:showSerName val="0"/>
          <c:showPercent val="0"/>
          <c:showBubbleSize val="0"/>
        </c:dLbls>
        <c:gapWidth val="219"/>
        <c:overlap val="-27"/>
        <c:axId val="169798272"/>
        <c:axId val="169345408"/>
      </c:barChart>
      <c:catAx>
        <c:axId val="16979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345408"/>
        <c:crosses val="autoZero"/>
        <c:auto val="1"/>
        <c:lblAlgn val="ctr"/>
        <c:lblOffset val="100"/>
        <c:noMultiLvlLbl val="0"/>
      </c:catAx>
      <c:valAx>
        <c:axId val="169345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98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Policy mix per sector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'2_MetaAnalysis'!$R$5</c:f>
              <c:strCache>
                <c:ptCount val="1"/>
                <c:pt idx="0">
                  <c:v>Investment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'2_MetaAnalysis'!$R$6:$R$11</c:f>
              <c:numCache>
                <c:formatCode>General</c:formatCode>
                <c:ptCount val="6"/>
                <c:pt idx="0">
                  <c:v>5</c:v>
                </c:pt>
                <c:pt idx="1">
                  <c:v>14</c:v>
                </c:pt>
                <c:pt idx="2">
                  <c:v>22</c:v>
                </c:pt>
                <c:pt idx="3">
                  <c:v>9</c:v>
                </c:pt>
                <c:pt idx="4">
                  <c:v>22</c:v>
                </c:pt>
                <c:pt idx="5">
                  <c:v>5</c:v>
                </c:pt>
              </c:numCache>
            </c:numRef>
          </c:val>
          <c:extLst>
            <c:ext xmlns:c16="http://schemas.microsoft.com/office/drawing/2014/chart" uri="{C3380CC4-5D6E-409C-BE32-E72D297353CC}">
              <c16:uniqueId val="{00000000-5D14-4954-A528-EE8746868D78}"/>
            </c:ext>
          </c:extLst>
        </c:ser>
        <c:ser>
          <c:idx val="1"/>
          <c:order val="1"/>
          <c:tx>
            <c:strRef>
              <c:f>'2_MetaAnalysis'!$S$5</c:f>
              <c:strCache>
                <c:ptCount val="1"/>
                <c:pt idx="0">
                  <c:v>Information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'2_MetaAnalysis'!$S$6:$S$11</c:f>
              <c:numCache>
                <c:formatCode>General</c:formatCode>
                <c:ptCount val="6"/>
                <c:pt idx="0">
                  <c:v>7</c:v>
                </c:pt>
                <c:pt idx="1">
                  <c:v>7</c:v>
                </c:pt>
                <c:pt idx="2">
                  <c:v>4</c:v>
                </c:pt>
                <c:pt idx="3">
                  <c:v>2</c:v>
                </c:pt>
                <c:pt idx="4">
                  <c:v>2</c:v>
                </c:pt>
                <c:pt idx="5">
                  <c:v>0</c:v>
                </c:pt>
              </c:numCache>
            </c:numRef>
          </c:val>
          <c:extLst>
            <c:ext xmlns:c16="http://schemas.microsoft.com/office/drawing/2014/chart" uri="{C3380CC4-5D6E-409C-BE32-E72D297353CC}">
              <c16:uniqueId val="{00000001-5D14-4954-A528-EE8746868D78}"/>
            </c:ext>
          </c:extLst>
        </c:ser>
        <c:ser>
          <c:idx val="2"/>
          <c:order val="2"/>
          <c:tx>
            <c:strRef>
              <c:f>'2_MetaAnalysis'!$T$5</c:f>
              <c:strCache>
                <c:ptCount val="1"/>
                <c:pt idx="0">
                  <c:v>Partnership</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'2_MetaAnalysis'!$T$6:$T$11</c:f>
              <c:numCache>
                <c:formatCode>General</c:formatCode>
                <c:ptCount val="6"/>
                <c:pt idx="0">
                  <c:v>1</c:v>
                </c:pt>
                <c:pt idx="1">
                  <c:v>0</c:v>
                </c:pt>
                <c:pt idx="2">
                  <c:v>1</c:v>
                </c:pt>
                <c:pt idx="3">
                  <c:v>3</c:v>
                </c:pt>
                <c:pt idx="4">
                  <c:v>6</c:v>
                </c:pt>
                <c:pt idx="5">
                  <c:v>3</c:v>
                </c:pt>
              </c:numCache>
            </c:numRef>
          </c:val>
          <c:extLst>
            <c:ext xmlns:c16="http://schemas.microsoft.com/office/drawing/2014/chart" uri="{C3380CC4-5D6E-409C-BE32-E72D297353CC}">
              <c16:uniqueId val="{00000002-5D14-4954-A528-EE8746868D78}"/>
            </c:ext>
          </c:extLst>
        </c:ser>
        <c:ser>
          <c:idx val="3"/>
          <c:order val="3"/>
          <c:tx>
            <c:strRef>
              <c:f>'2_MetaAnalysis'!$U$5</c:f>
              <c:strCache>
                <c:ptCount val="1"/>
                <c:pt idx="0">
                  <c:v>Regulatory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'2_MetaAnalysis'!$U$6:$U$11</c:f>
              <c:numCache>
                <c:formatCode>General</c:formatCode>
                <c:ptCount val="6"/>
                <c:pt idx="0">
                  <c:v>4</c:v>
                </c:pt>
                <c:pt idx="1">
                  <c:v>7</c:v>
                </c:pt>
                <c:pt idx="2">
                  <c:v>10</c:v>
                </c:pt>
                <c:pt idx="3">
                  <c:v>5</c:v>
                </c:pt>
                <c:pt idx="4">
                  <c:v>2</c:v>
                </c:pt>
                <c:pt idx="5">
                  <c:v>3</c:v>
                </c:pt>
              </c:numCache>
            </c:numRef>
          </c:val>
          <c:extLst>
            <c:ext xmlns:c16="http://schemas.microsoft.com/office/drawing/2014/chart" uri="{C3380CC4-5D6E-409C-BE32-E72D297353CC}">
              <c16:uniqueId val="{00000003-5D14-4954-A528-EE8746868D78}"/>
            </c:ext>
          </c:extLst>
        </c:ser>
        <c:ser>
          <c:idx val="5"/>
          <c:order val="4"/>
          <c:tx>
            <c:strRef>
              <c:f>'2_MetaAnalysis'!$V$5</c:f>
              <c:strCache>
                <c:ptCount val="1"/>
                <c:pt idx="0">
                  <c:v>Voluntary</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'2_MetaAnalysis'!$V$6:$V$11</c:f>
              <c:numCache>
                <c:formatCode>General</c:formatCode>
                <c:ptCount val="6"/>
                <c:pt idx="0">
                  <c:v>0</c:v>
                </c:pt>
                <c:pt idx="1">
                  <c:v>0</c:v>
                </c:pt>
                <c:pt idx="2">
                  <c:v>1</c:v>
                </c:pt>
                <c:pt idx="3">
                  <c:v>0</c:v>
                </c:pt>
                <c:pt idx="4">
                  <c:v>0</c:v>
                </c:pt>
                <c:pt idx="5">
                  <c:v>1</c:v>
                </c:pt>
              </c:numCache>
            </c:numRef>
          </c:val>
          <c:extLst>
            <c:ext xmlns:c16="http://schemas.microsoft.com/office/drawing/2014/chart" uri="{C3380CC4-5D6E-409C-BE32-E72D297353CC}">
              <c16:uniqueId val="{00000004-5D14-4954-A528-EE8746868D78}"/>
            </c:ext>
          </c:extLst>
        </c:ser>
        <c:ser>
          <c:idx val="6"/>
          <c:order val="5"/>
          <c:tx>
            <c:strRef>
              <c:f>'2_MetaAnalysis'!$W$5</c:f>
              <c:strCache>
                <c:ptCount val="1"/>
                <c:pt idx="0">
                  <c:v>Market</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'2_MetaAnalysis'!$W$6:$W$11</c:f>
              <c:numCache>
                <c:formatCode>General</c:formatCode>
                <c:ptCount val="6"/>
                <c:pt idx="0">
                  <c:v>0</c:v>
                </c:pt>
                <c:pt idx="1">
                  <c:v>2</c:v>
                </c:pt>
                <c:pt idx="2">
                  <c:v>0</c:v>
                </c:pt>
                <c:pt idx="3">
                  <c:v>1</c:v>
                </c:pt>
                <c:pt idx="4">
                  <c:v>1</c:v>
                </c:pt>
                <c:pt idx="5">
                  <c:v>0</c:v>
                </c:pt>
              </c:numCache>
            </c:numRef>
          </c:val>
          <c:extLst>
            <c:ext xmlns:c16="http://schemas.microsoft.com/office/drawing/2014/chart" uri="{C3380CC4-5D6E-409C-BE32-E72D297353CC}">
              <c16:uniqueId val="{00000005-5D14-4954-A528-EE8746868D78}"/>
            </c:ext>
          </c:extLst>
        </c:ser>
        <c:ser>
          <c:idx val="4"/>
          <c:order val="6"/>
          <c:tx>
            <c:strRef>
              <c:f>'2_MetaAnalysis'!$X$5</c:f>
              <c:strCache>
                <c:ptCount val="1"/>
                <c:pt idx="0">
                  <c:v>Fiscal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'2_MetaAnalysis'!$X$6:$X$11</c:f>
              <c:numCache>
                <c:formatCode>General</c:formatCode>
                <c:ptCount val="6"/>
                <c:pt idx="0">
                  <c:v>5</c:v>
                </c:pt>
                <c:pt idx="1">
                  <c:v>1</c:v>
                </c:pt>
                <c:pt idx="2">
                  <c:v>1</c:v>
                </c:pt>
                <c:pt idx="3">
                  <c:v>1</c:v>
                </c:pt>
                <c:pt idx="4">
                  <c:v>7</c:v>
                </c:pt>
                <c:pt idx="5">
                  <c:v>0</c:v>
                </c:pt>
              </c:numCache>
            </c:numRef>
          </c:val>
          <c:extLst>
            <c:ext xmlns:c16="http://schemas.microsoft.com/office/drawing/2014/chart" uri="{C3380CC4-5D6E-409C-BE32-E72D297353CC}">
              <c16:uniqueId val="{00000009-5D14-4954-A528-EE8746868D78}"/>
            </c:ext>
          </c:extLst>
        </c:ser>
        <c:ser>
          <c:idx val="7"/>
          <c:order val="7"/>
          <c:tx>
            <c:strRef>
              <c:f>'2_MetaAnalysis'!$Y$5</c:f>
              <c:strCache>
                <c:ptCount val="1"/>
                <c:pt idx="0">
                  <c:v>?</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'2_MetaAnalysis'!$Y$6:$Y$11</c:f>
              <c:numCache>
                <c:formatCode>General</c:formatCode>
                <c:ptCount val="6"/>
                <c:pt idx="0">
                  <c:v>2</c:v>
                </c:pt>
                <c:pt idx="1">
                  <c:v>2</c:v>
                </c:pt>
                <c:pt idx="2">
                  <c:v>5</c:v>
                </c:pt>
                <c:pt idx="3">
                  <c:v>3</c:v>
                </c:pt>
                <c:pt idx="4">
                  <c:v>4</c:v>
                </c:pt>
                <c:pt idx="5">
                  <c:v>0</c:v>
                </c:pt>
              </c:numCache>
            </c:numRef>
          </c:val>
          <c:extLst>
            <c:ext xmlns:c16="http://schemas.microsoft.com/office/drawing/2014/chart" uri="{C3380CC4-5D6E-409C-BE32-E72D297353CC}">
              <c16:uniqueId val="{0000000A-5D14-4954-A528-EE8746868D78}"/>
            </c:ext>
          </c:extLst>
        </c:ser>
        <c:ser>
          <c:idx val="8"/>
          <c:order val="8"/>
          <c:tx>
            <c:strRef>
              <c:f>'2_MetaAnalysis'!$Z$5</c:f>
              <c:strCache>
                <c:ptCount val="1"/>
                <c:pt idx="0">
                  <c:v>Various / other</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'2_MetaAnalysis'!$Z$6:$Z$11</c:f>
              <c:numCache>
                <c:formatCode>General</c:formatCode>
                <c:ptCount val="6"/>
                <c:pt idx="0">
                  <c:v>5</c:v>
                </c:pt>
                <c:pt idx="1">
                  <c:v>7</c:v>
                </c:pt>
                <c:pt idx="2">
                  <c:v>6</c:v>
                </c:pt>
                <c:pt idx="3">
                  <c:v>3</c:v>
                </c:pt>
                <c:pt idx="4">
                  <c:v>2</c:v>
                </c:pt>
                <c:pt idx="5">
                  <c:v>2</c:v>
                </c:pt>
              </c:numCache>
            </c:numRef>
          </c:val>
          <c:extLst>
            <c:ext xmlns:c16="http://schemas.microsoft.com/office/drawing/2014/chart" uri="{C3380CC4-5D6E-409C-BE32-E72D297353CC}">
              <c16:uniqueId val="{0000000B-5D14-4954-A528-EE8746868D78}"/>
            </c:ext>
          </c:extLst>
        </c:ser>
        <c:dLbls>
          <c:dLblPos val="outEnd"/>
          <c:showLegendKey val="0"/>
          <c:showVal val="1"/>
          <c:showCatName val="0"/>
          <c:showSerName val="0"/>
          <c:showPercent val="0"/>
          <c:showBubbleSize val="0"/>
        </c:dLbls>
        <c:gapWidth val="182"/>
        <c:axId val="169437056"/>
        <c:axId val="169438592"/>
      </c:barChart>
      <c:catAx>
        <c:axId val="169437056"/>
        <c:scaling>
          <c:orientation val="minMax"/>
        </c:scaling>
        <c:delete val="0"/>
        <c:axPos val="b"/>
        <c:numFmt formatCode="#,##0_);\(#,##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38592"/>
        <c:crosses val="autoZero"/>
        <c:auto val="0"/>
        <c:lblAlgn val="ctr"/>
        <c:lblOffset val="100"/>
        <c:noMultiLvlLbl val="0"/>
      </c:catAx>
      <c:valAx>
        <c:axId val="169438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37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169-4363-B358-4B95C6179B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69-4363-B358-4B95C6179BD4}"/>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8169-4363-B358-4B95C6179B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'2_MetaAnalysis'!$O$5:$Q$5</c:f>
              <c:strCache>
                <c:ptCount val="3"/>
                <c:pt idx="0">
                  <c:v>Demand focus</c:v>
                </c:pt>
                <c:pt idx="1">
                  <c:v>Supply focus</c:v>
                </c:pt>
                <c:pt idx="2">
                  <c:v>Maybe/unsure</c:v>
                </c:pt>
              </c:strCache>
            </c:strRef>
          </c:cat>
          <c:val>
            <c:numRef>
              <c:f>'2_MetaAnalysis'!$O$12:$Q$12</c:f>
              <c:numCache>
                <c:formatCode>General</c:formatCode>
                <c:ptCount val="3"/>
                <c:pt idx="0">
                  <c:v>52</c:v>
                </c:pt>
                <c:pt idx="1">
                  <c:v>80</c:v>
                </c:pt>
                <c:pt idx="2">
                  <c:v>74</c:v>
                </c:pt>
              </c:numCache>
            </c:numRef>
          </c:val>
          <c:extLst>
            <c:ext xmlns:c16="http://schemas.microsoft.com/office/drawing/2014/chart" uri="{C3380CC4-5D6E-409C-BE32-E72D297353CC}">
              <c16:uniqueId val="{00000006-8169-4363-B358-4B95C6179B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Policies</c:v>
          </c:tx>
          <c:spPr>
            <a:solidFill>
              <a:schemeClr val="accent1"/>
            </a:solidFill>
            <a:ln>
              <a:noFill/>
            </a:ln>
            <a:effectLst/>
          </c:spPr>
          <c:invertIfNegative val="0"/>
          <c:dLbls>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'2_MetaAnalysis'!$I$6:$I$11</c:f>
              <c:numCache>
                <c:formatCode>General</c:formatCode>
                <c:ptCount val="6"/>
                <c:pt idx="0">
                  <c:v>29</c:v>
                </c:pt>
                <c:pt idx="1">
                  <c:v>40</c:v>
                </c:pt>
                <c:pt idx="2">
                  <c:v>50</c:v>
                </c:pt>
                <c:pt idx="3">
                  <c:v>27</c:v>
                </c:pt>
                <c:pt idx="4">
                  <c:v>46</c:v>
                </c:pt>
                <c:pt idx="5">
                  <c:v>14</c:v>
                </c:pt>
              </c:numCache>
            </c:numRef>
          </c:val>
          <c:extLst>
            <c:ext xmlns:c16="http://schemas.microsoft.com/office/drawing/2014/chart" uri="{C3380CC4-5D6E-409C-BE32-E72D297353CC}">
              <c16:uniqueId val="{00000000-DD19-E94C-A8EC-E2F3647A4856}"/>
            </c:ext>
          </c:extLst>
        </c:ser>
        <c:ser>
          <c:idx val="1"/>
          <c:order val="1"/>
          <c:tx>
            <c:v>With timescales</c:v>
          </c:tx>
          <c:spPr>
            <a:solidFill>
              <a:schemeClr val="accent2"/>
            </a:solidFill>
            <a:ln>
              <a:noFill/>
            </a:ln>
            <a:effectLst/>
          </c:spPr>
          <c:invertIfNegative val="0"/>
          <c:dLbls>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'2_MetaAnalysis'!$J$6:$J$11</c:f>
              <c:numCache>
                <c:formatCode>General</c:formatCode>
                <c:ptCount val="6"/>
                <c:pt idx="0">
                  <c:v>17</c:v>
                </c:pt>
                <c:pt idx="1">
                  <c:v>28</c:v>
                </c:pt>
                <c:pt idx="2">
                  <c:v>36</c:v>
                </c:pt>
                <c:pt idx="3">
                  <c:v>17</c:v>
                </c:pt>
                <c:pt idx="4">
                  <c:v>25</c:v>
                </c:pt>
                <c:pt idx="5">
                  <c:v>8</c:v>
                </c:pt>
              </c:numCache>
            </c:numRef>
          </c:val>
          <c:extLst>
            <c:ext xmlns:c16="http://schemas.microsoft.com/office/drawing/2014/chart" uri="{C3380CC4-5D6E-409C-BE32-E72D297353CC}">
              <c16:uniqueId val="{00000001-DD19-E94C-A8EC-E2F3647A4856}"/>
            </c:ext>
          </c:extLst>
        </c:ser>
        <c:ser>
          <c:idx val="2"/>
          <c:order val="2"/>
          <c:tx>
            <c:v>Funding allocated</c:v>
          </c:tx>
          <c:spPr>
            <a:solidFill>
              <a:srgbClr val="FFFF00"/>
            </a:solidFill>
            <a:ln>
              <a:noFill/>
            </a:ln>
            <a:effectLst/>
          </c:spPr>
          <c:invertIfNegative val="0"/>
          <c:dLbls>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'2_MetaAnalysis'!$K$6:$K$11</c:f>
              <c:numCache>
                <c:formatCode>General</c:formatCode>
                <c:ptCount val="6"/>
                <c:pt idx="0">
                  <c:v>4</c:v>
                </c:pt>
                <c:pt idx="1">
                  <c:v>12</c:v>
                </c:pt>
                <c:pt idx="2">
                  <c:v>17</c:v>
                </c:pt>
                <c:pt idx="3">
                  <c:v>10</c:v>
                </c:pt>
                <c:pt idx="4">
                  <c:v>11</c:v>
                </c:pt>
                <c:pt idx="5">
                  <c:v>1</c:v>
                </c:pt>
              </c:numCache>
            </c:numRef>
          </c:val>
          <c:extLst>
            <c:ext xmlns:c16="http://schemas.microsoft.com/office/drawing/2014/chart" uri="{C3380CC4-5D6E-409C-BE32-E72D297353CC}">
              <c16:uniqueId val="{00000002-DD19-E94C-A8EC-E2F3647A4856}"/>
            </c:ext>
          </c:extLst>
        </c:ser>
        <c:ser>
          <c:idx val="5"/>
          <c:order val="3"/>
          <c:tx>
            <c:strRef>
              <c:f>'2_MetaAnalysis'!$M$5</c:f>
              <c:strCache>
                <c:ptCount val="1"/>
                <c:pt idx="0">
                  <c:v>Specific targets</c:v>
                </c:pt>
              </c:strCache>
            </c:strRef>
          </c:tx>
          <c:spPr>
            <a:solidFill>
              <a:schemeClr val="accent6"/>
            </a:solidFill>
            <a:ln>
              <a:noFill/>
            </a:ln>
            <a:effectLst/>
          </c:spPr>
          <c:invertIfNegative val="0"/>
          <c:dLbls>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'2_MetaAnalysis'!$M$6:$M$11</c:f>
              <c:numCache>
                <c:formatCode>General</c:formatCode>
                <c:ptCount val="6"/>
                <c:pt idx="0">
                  <c:v>12</c:v>
                </c:pt>
                <c:pt idx="1">
                  <c:v>16</c:v>
                </c:pt>
                <c:pt idx="2">
                  <c:v>16</c:v>
                </c:pt>
                <c:pt idx="3">
                  <c:v>11</c:v>
                </c:pt>
                <c:pt idx="4">
                  <c:v>27</c:v>
                </c:pt>
                <c:pt idx="5">
                  <c:v>2</c:v>
                </c:pt>
              </c:numCache>
            </c:numRef>
          </c:val>
          <c:extLst>
            <c:ext xmlns:c16="http://schemas.microsoft.com/office/drawing/2014/chart" uri="{C3380CC4-5D6E-409C-BE32-E72D297353CC}">
              <c16:uniqueId val="{00000000-CEBD-45D5-B673-9663F79F0C69}"/>
            </c:ext>
          </c:extLst>
        </c:ser>
        <c:dLbls>
          <c:dLblPos val="outEnd"/>
          <c:showLegendKey val="0"/>
          <c:showVal val="1"/>
          <c:showCatName val="0"/>
          <c:showSerName val="0"/>
          <c:showPercent val="0"/>
          <c:showBubbleSize val="0"/>
        </c:dLbls>
        <c:gapWidth val="182"/>
        <c:axId val="152367872"/>
        <c:axId val="152369408"/>
      </c:barChart>
      <c:catAx>
        <c:axId val="152367872"/>
        <c:scaling>
          <c:orientation val="maxMin"/>
        </c:scaling>
        <c:delete val="0"/>
        <c:axPos val="l"/>
        <c:numFmt formatCode="#,##0_);\(#,##0\)" sourceLinked="0"/>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52369408"/>
        <c:crosses val="autoZero"/>
        <c:auto val="0"/>
        <c:lblAlgn val="ctr"/>
        <c:lblOffset val="100"/>
        <c:noMultiLvlLbl val="0"/>
      </c:catAx>
      <c:valAx>
        <c:axId val="1523694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vert="horz"/>
          <a:lstStyle/>
          <a:p>
            <a:pPr>
              <a:defRPr/>
            </a:pPr>
            <a:endParaRPr lang="en-US"/>
          </a:p>
        </c:txPr>
        <c:crossAx val="152367872"/>
        <c:crosses val="autoZero"/>
        <c:crossBetween val="between"/>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78B-A54F-BFA1-E4000674EE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78B-A54F-BFA1-E4000674EED0}"/>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478B-A54F-BFA1-E4000674EE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'2_MetaAnalysis'!$O$5:$Q$5</c:f>
              <c:strCache>
                <c:ptCount val="3"/>
                <c:pt idx="0">
                  <c:v>Demand focus</c:v>
                </c:pt>
                <c:pt idx="1">
                  <c:v>Supply focus</c:v>
                </c:pt>
                <c:pt idx="2">
                  <c:v>Maybe/unsure</c:v>
                </c:pt>
              </c:strCache>
            </c:strRef>
          </c:cat>
          <c:val>
            <c:numRef>
              <c:f>'2_MetaAnalysis'!$O$7:$Q$7</c:f>
              <c:numCache>
                <c:formatCode>General</c:formatCode>
                <c:ptCount val="3"/>
                <c:pt idx="0">
                  <c:v>23</c:v>
                </c:pt>
                <c:pt idx="1">
                  <c:v>10</c:v>
                </c:pt>
                <c:pt idx="2">
                  <c:v>7</c:v>
                </c:pt>
              </c:numCache>
            </c:numRef>
          </c:val>
          <c:extLst>
            <c:ext xmlns:c16="http://schemas.microsoft.com/office/drawing/2014/chart" uri="{C3380CC4-5D6E-409C-BE32-E72D297353CC}">
              <c16:uniqueId val="{00000006-478B-A54F-BFA1-E4000674EED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EDC8-0940-941F-FFADEAA401D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C8-0940-941F-FFADEAA401D2}"/>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EDC8-0940-941F-FFADEAA401D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'2_MetaAnalysis'!$O$5:$Q$5</c:f>
              <c:strCache>
                <c:ptCount val="3"/>
                <c:pt idx="0">
                  <c:v>Demand focus</c:v>
                </c:pt>
                <c:pt idx="1">
                  <c:v>Supply focus</c:v>
                </c:pt>
                <c:pt idx="2">
                  <c:v>Maybe/unsure</c:v>
                </c:pt>
              </c:strCache>
            </c:strRef>
          </c:cat>
          <c:val>
            <c:numRef>
              <c:f>'2_MetaAnalysis'!$O$8:$Q$8</c:f>
              <c:numCache>
                <c:formatCode>General</c:formatCode>
                <c:ptCount val="3"/>
                <c:pt idx="0">
                  <c:v>11</c:v>
                </c:pt>
                <c:pt idx="1">
                  <c:v>29</c:v>
                </c:pt>
                <c:pt idx="2">
                  <c:v>10</c:v>
                </c:pt>
              </c:numCache>
            </c:numRef>
          </c:val>
          <c:extLst>
            <c:ext xmlns:c16="http://schemas.microsoft.com/office/drawing/2014/chart" uri="{C3380CC4-5D6E-409C-BE32-E72D297353CC}">
              <c16:uniqueId val="{00000006-EDC8-0940-941F-FFADEAA401D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B9EF-024C-A05E-3E381D97FF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EF-024C-A05E-3E381D97FFCD}"/>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B9EF-024C-A05E-3E381D97FF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'2_MetaAnalysis'!$O$5:$Q$5</c:f>
              <c:strCache>
                <c:ptCount val="3"/>
                <c:pt idx="0">
                  <c:v>Demand focus</c:v>
                </c:pt>
                <c:pt idx="1">
                  <c:v>Supply focus</c:v>
                </c:pt>
                <c:pt idx="2">
                  <c:v>Maybe/unsure</c:v>
                </c:pt>
              </c:strCache>
            </c:strRef>
          </c:cat>
          <c:val>
            <c:numRef>
              <c:f>'2_MetaAnalysis'!$O$9:$Q$9</c:f>
              <c:numCache>
                <c:formatCode>General</c:formatCode>
                <c:ptCount val="3"/>
                <c:pt idx="0">
                  <c:v>3</c:v>
                </c:pt>
                <c:pt idx="1">
                  <c:v>14</c:v>
                </c:pt>
                <c:pt idx="2">
                  <c:v>10</c:v>
                </c:pt>
              </c:numCache>
            </c:numRef>
          </c:val>
          <c:extLst>
            <c:ext xmlns:c16="http://schemas.microsoft.com/office/drawing/2014/chart" uri="{C3380CC4-5D6E-409C-BE32-E72D297353CC}">
              <c16:uniqueId val="{00000006-B9EF-024C-A05E-3E381D97FFC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870-064A-B398-AAB6B72EF2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870-064A-B398-AAB6B72EF2A9}"/>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4870-064A-B398-AAB6B72EF2A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'2_MetaAnalysis'!$O$5:$Q$5</c:f>
              <c:strCache>
                <c:ptCount val="3"/>
                <c:pt idx="0">
                  <c:v>Demand focus</c:v>
                </c:pt>
                <c:pt idx="1">
                  <c:v>Supply focus</c:v>
                </c:pt>
                <c:pt idx="2">
                  <c:v>Maybe/unsure</c:v>
                </c:pt>
              </c:strCache>
            </c:strRef>
          </c:cat>
          <c:val>
            <c:numRef>
              <c:f>'2_MetaAnalysis'!$O$10:$Q$10</c:f>
              <c:numCache>
                <c:formatCode>General</c:formatCode>
                <c:ptCount val="3"/>
                <c:pt idx="0">
                  <c:v>0</c:v>
                </c:pt>
                <c:pt idx="1">
                  <c:v>17</c:v>
                </c:pt>
                <c:pt idx="2">
                  <c:v>29</c:v>
                </c:pt>
              </c:numCache>
            </c:numRef>
          </c:val>
          <c:extLst>
            <c:ext xmlns:c16="http://schemas.microsoft.com/office/drawing/2014/chart" uri="{C3380CC4-5D6E-409C-BE32-E72D297353CC}">
              <c16:uniqueId val="{00000006-4870-064A-B398-AAB6B72EF2A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659A-0E48-8051-BC57B2F40E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59A-0E48-8051-BC57B2F40ECD}"/>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659A-0E48-8051-BC57B2F40E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'2_MetaAnalysis'!$O$5:$Q$5</c:f>
              <c:strCache>
                <c:ptCount val="3"/>
                <c:pt idx="0">
                  <c:v>Demand focus</c:v>
                </c:pt>
                <c:pt idx="1">
                  <c:v>Supply focus</c:v>
                </c:pt>
                <c:pt idx="2">
                  <c:v>Maybe/unsure</c:v>
                </c:pt>
              </c:strCache>
            </c:strRef>
          </c:cat>
          <c:val>
            <c:numRef>
              <c:f>'2_MetaAnalysis'!$O$11:$Q$11</c:f>
              <c:numCache>
                <c:formatCode>General</c:formatCode>
                <c:ptCount val="3"/>
                <c:pt idx="0">
                  <c:v>2</c:v>
                </c:pt>
                <c:pt idx="1">
                  <c:v>2</c:v>
                </c:pt>
                <c:pt idx="2">
                  <c:v>10</c:v>
                </c:pt>
              </c:numCache>
            </c:numRef>
          </c:val>
          <c:extLst>
            <c:ext xmlns:c16="http://schemas.microsoft.com/office/drawing/2014/chart" uri="{C3380CC4-5D6E-409C-BE32-E72D297353CC}">
              <c16:uniqueId val="{00000006-659A-0E48-8051-BC57B2F40EC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Policies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'2_MetaAnalysis'!$I$6:$I$11</c:f>
              <c:numCache>
                <c:formatCode>General</c:formatCode>
                <c:ptCount val="6"/>
                <c:pt idx="0">
                  <c:v>29</c:v>
                </c:pt>
                <c:pt idx="1">
                  <c:v>40</c:v>
                </c:pt>
                <c:pt idx="2">
                  <c:v>50</c:v>
                </c:pt>
                <c:pt idx="3">
                  <c:v>27</c:v>
                </c:pt>
                <c:pt idx="4">
                  <c:v>46</c:v>
                </c:pt>
                <c:pt idx="5">
                  <c:v>14</c:v>
                </c:pt>
              </c:numCache>
            </c:numRef>
          </c:val>
          <c:extLst>
            <c:ext xmlns:c16="http://schemas.microsoft.com/office/drawing/2014/chart" uri="{C3380CC4-5D6E-409C-BE32-E72D297353CC}">
              <c16:uniqueId val="{00000000-DD19-E94C-A8EC-E2F3647A4856}"/>
            </c:ext>
          </c:extLst>
        </c:ser>
        <c:ser>
          <c:idx val="1"/>
          <c:order val="1"/>
          <c:tx>
            <c:v>With timescales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'2_MetaAnalysis'!$J$6:$J$11</c:f>
              <c:numCache>
                <c:formatCode>General</c:formatCode>
                <c:ptCount val="6"/>
                <c:pt idx="0">
                  <c:v>17</c:v>
                </c:pt>
                <c:pt idx="1">
                  <c:v>28</c:v>
                </c:pt>
                <c:pt idx="2">
                  <c:v>36</c:v>
                </c:pt>
                <c:pt idx="3">
                  <c:v>17</c:v>
                </c:pt>
                <c:pt idx="4">
                  <c:v>25</c:v>
                </c:pt>
                <c:pt idx="5">
                  <c:v>8</c:v>
                </c:pt>
              </c:numCache>
            </c:numRef>
          </c:val>
          <c:extLst>
            <c:ext xmlns:c16="http://schemas.microsoft.com/office/drawing/2014/chart" uri="{C3380CC4-5D6E-409C-BE32-E72D297353CC}">
              <c16:uniqueId val="{00000001-DD19-E94C-A8EC-E2F3647A4856}"/>
            </c:ext>
          </c:extLst>
        </c:ser>
        <c:ser>
          <c:idx val="2"/>
          <c:order val="2"/>
          <c:tx>
            <c:v>Funding allocated</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'2_MetaAnalysis'!$K$6:$K$11</c:f>
              <c:numCache>
                <c:formatCode>General</c:formatCode>
                <c:ptCount val="6"/>
                <c:pt idx="0">
                  <c:v>4</c:v>
                </c:pt>
                <c:pt idx="1">
                  <c:v>12</c:v>
                </c:pt>
                <c:pt idx="2">
                  <c:v>17</c:v>
                </c:pt>
                <c:pt idx="3">
                  <c:v>10</c:v>
                </c:pt>
                <c:pt idx="4">
                  <c:v>11</c:v>
                </c:pt>
                <c:pt idx="5">
                  <c:v>1</c:v>
                </c:pt>
              </c:numCache>
            </c:numRef>
          </c:val>
          <c:extLst>
            <c:ext xmlns:c16="http://schemas.microsoft.com/office/drawing/2014/chart" uri="{C3380CC4-5D6E-409C-BE32-E72D297353CC}">
              <c16:uniqueId val="{00000002-DD19-E94C-A8EC-E2F3647A4856}"/>
            </c:ext>
          </c:extLst>
        </c:ser>
        <c:ser>
          <c:idx val="3"/>
          <c:order val="3"/>
          <c:tx>
            <c:v>Department allocated</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'2_MetaAnalysis'!$L$6:$L$11</c:f>
              <c:numCache>
                <c:formatCode>General</c:formatCode>
                <c:ptCount val="6"/>
                <c:pt idx="0">
                  <c:v>13</c:v>
                </c:pt>
                <c:pt idx="1">
                  <c:v>15</c:v>
                </c:pt>
                <c:pt idx="2">
                  <c:v>11</c:v>
                </c:pt>
                <c:pt idx="3">
                  <c:v>9</c:v>
                </c:pt>
                <c:pt idx="4">
                  <c:v>12</c:v>
                </c:pt>
                <c:pt idx="5">
                  <c:v>6</c:v>
                </c:pt>
              </c:numCache>
            </c:numRef>
          </c:val>
          <c:extLst>
            <c:ext xmlns:c16="http://schemas.microsoft.com/office/drawing/2014/chart" uri="{C3380CC4-5D6E-409C-BE32-E72D297353CC}">
              <c16:uniqueId val="{00000003-DD19-E94C-A8EC-E2F3647A4856}"/>
            </c:ext>
          </c:extLst>
        </c:ser>
        <c:ser>
          <c:idx val="5"/>
          <c:order val="4"/>
          <c:tx>
            <c:strRef>
              <c:f>'2_MetaAnalysis'!$M$5</c:f>
              <c:strCache>
                <c:ptCount val="1"/>
                <c:pt idx="0">
                  <c:v>Specific targets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'2_MetaAnalysis'!$M$6:$M$11</c:f>
              <c:numCache>
                <c:formatCode>General</c:formatCode>
                <c:ptCount val="6"/>
                <c:pt idx="0">
                  <c:v>12</c:v>
                </c:pt>
                <c:pt idx="1">
                  <c:v>16</c:v>
                </c:pt>
                <c:pt idx="2">
                  <c:v>16</c:v>
                </c:pt>
                <c:pt idx="3">
                  <c:v>11</c:v>
                </c:pt>
                <c:pt idx="4">
                  <c:v>27</c:v>
                </c:pt>
                <c:pt idx="5">
                  <c:v>2</c:v>
                </c:pt>
              </c:numCache>
            </c:numRef>
          </c:val>
          <c:extLst>
            <c:ext xmlns:c16="http://schemas.microsoft.com/office/drawing/2014/chart" uri="{C3380CC4-5D6E-409C-BE32-E72D297353CC}">
              <c16:uniqueId val="{00000000-CEBD-45D5-B673-9663F79F0C69}"/>
            </c:ext>
          </c:extLst>
        </c:ser>
        <c:ser>
          <c:idx val="6"/>
          <c:order val="5"/>
          <c:tx>
            <c:strRef>
              <c:f>'2_MetaAnalysis'!$N$5</c:f>
              <c:strCache>
                <c:ptCount val="1"/>
                <c:pt idx="0">
                  <c:v>Obligations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'2_MetaAnalysis'!$N$6:$N$11</c:f>
              <c:numCache>
                <c:formatCode>General</c:formatCode>
                <c:ptCount val="6"/>
                <c:pt idx="0">
                  <c:v>11</c:v>
                </c:pt>
                <c:pt idx="1">
                  <c:v>13</c:v>
                </c:pt>
                <c:pt idx="2">
                  <c:v>9</c:v>
                </c:pt>
                <c:pt idx="3">
                  <c:v>8</c:v>
                </c:pt>
                <c:pt idx="4">
                  <c:v>15</c:v>
                </c:pt>
                <c:pt idx="5">
                  <c:v>2</c:v>
                </c:pt>
              </c:numCache>
            </c:numRef>
          </c:val>
          <c:extLst>
            <c:ext xmlns:c16="http://schemas.microsoft.com/office/drawing/2014/chart" uri="{C3380CC4-5D6E-409C-BE32-E72D297353CC}">
              <c16:uniqueId val="{00000001-CEBD-45D5-B673-9663F79F0C69}"/>
            </c:ext>
          </c:extLst>
        </c:ser>
        <c:dLbls>
          <c:dLblPos val="outEnd"/>
          <c:showLegendKey val="0"/>
          <c:showVal val="1"/>
          <c:showCatName val="0"/>
          <c:showSerName val="0"/>
          <c:showPercent val="0"/>
          <c:showBubbleSize val="0"/>
        </c:dLbls>
        <c:gapWidth val="182"/>
        <c:axId val="168757120"/>
        <c:axId val="168758656"/>
      </c:barChart>
      <c:catAx>
        <c:axId val="168757120"/>
        <c:scaling>
          <c:orientation val="maxMin"/>
        </c:scaling>
        <c:delete val="0"/>
        <c:axPos val="l"/>
        <c:numFmt formatCode="#,##0_);\(#,##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758656"/>
        <c:crosses val="autoZero"/>
        <c:auto val="0"/>
        <c:lblAlgn val="ctr"/>
        <c:lblOffset val="100"/>
        <c:noMultiLvlLbl val="0"/>
      </c:catAx>
      <c:valAx>
        <c:axId val="1687586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757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Policy mix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'2_MetaAnalysis'!$R$5</c:f>
              <c:strCache>
                <c:ptCount val="1"/>
                <c:pt idx="0">
                  <c:v>Investment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'2_MetaAnalysis'!$R$6:$R$11</c:f>
              <c:numCache>
                <c:formatCode>General</c:formatCode>
                <c:ptCount val="6"/>
                <c:pt idx="0">
                  <c:v>5</c:v>
                </c:pt>
                <c:pt idx="1">
                  <c:v>14</c:v>
                </c:pt>
                <c:pt idx="2">
                  <c:v>22</c:v>
                </c:pt>
                <c:pt idx="3">
                  <c:v>9</c:v>
                </c:pt>
                <c:pt idx="4">
                  <c:v>22</c:v>
                </c:pt>
                <c:pt idx="5">
                  <c:v>5</c:v>
                </c:pt>
              </c:numCache>
            </c:numRef>
          </c:val>
          <c:extLst>
            <c:ext xmlns:c16="http://schemas.microsoft.com/office/drawing/2014/chart" uri="{C3380CC4-5D6E-409C-BE32-E72D297353CC}">
              <c16:uniqueId val="{00000000-DB32-4D8C-8573-C2FDB19331DF}"/>
            </c:ext>
          </c:extLst>
        </c:ser>
        <c:ser>
          <c:idx val="1"/>
          <c:order val="1"/>
          <c:tx>
            <c:strRef>
              <c:f>'2_MetaAnalysis'!$S$5</c:f>
              <c:strCache>
                <c:ptCount val="1"/>
                <c:pt idx="0">
                  <c:v>Information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'2_MetaAnalysis'!$S$6:$S$11</c:f>
              <c:numCache>
                <c:formatCode>General</c:formatCode>
                <c:ptCount val="6"/>
                <c:pt idx="0">
                  <c:v>7</c:v>
                </c:pt>
                <c:pt idx="1">
                  <c:v>7</c:v>
                </c:pt>
                <c:pt idx="2">
                  <c:v>4</c:v>
                </c:pt>
                <c:pt idx="3">
                  <c:v>2</c:v>
                </c:pt>
                <c:pt idx="4">
                  <c:v>2</c:v>
                </c:pt>
                <c:pt idx="5">
                  <c:v>0</c:v>
                </c:pt>
              </c:numCache>
            </c:numRef>
          </c:val>
          <c:extLst>
            <c:ext xmlns:c16="http://schemas.microsoft.com/office/drawing/2014/chart" uri="{C3380CC4-5D6E-409C-BE32-E72D297353CC}">
              <c16:uniqueId val="{00000001-DB32-4D8C-8573-C2FDB19331DF}"/>
            </c:ext>
          </c:extLst>
        </c:ser>
        <c:ser>
          <c:idx val="2"/>
          <c:order val="2"/>
          <c:tx>
            <c:strRef>
              <c:f>'2_MetaAnalysis'!$T$5</c:f>
              <c:strCache>
                <c:ptCount val="1"/>
                <c:pt idx="0">
                  <c:v>Partnership</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'2_MetaAnalysis'!$T$6:$T$11</c:f>
              <c:numCache>
                <c:formatCode>General</c:formatCode>
                <c:ptCount val="6"/>
                <c:pt idx="0">
                  <c:v>1</c:v>
                </c:pt>
                <c:pt idx="1">
                  <c:v>0</c:v>
                </c:pt>
                <c:pt idx="2">
                  <c:v>1</c:v>
                </c:pt>
                <c:pt idx="3">
                  <c:v>3</c:v>
                </c:pt>
                <c:pt idx="4">
                  <c:v>6</c:v>
                </c:pt>
                <c:pt idx="5">
                  <c:v>3</c:v>
                </c:pt>
              </c:numCache>
            </c:numRef>
          </c:val>
          <c:extLst>
            <c:ext xmlns:c16="http://schemas.microsoft.com/office/drawing/2014/chart" uri="{C3380CC4-5D6E-409C-BE32-E72D297353CC}">
              <c16:uniqueId val="{00000002-DB32-4D8C-8573-C2FDB19331DF}"/>
            </c:ext>
          </c:extLst>
        </c:ser>
        <c:ser>
          <c:idx val="3"/>
          <c:order val="3"/>
          <c:tx>
            <c:strRef>
              <c:f>'2_MetaAnalysis'!$U$5</c:f>
              <c:strCache>
                <c:ptCount val="1"/>
                <c:pt idx="0">
                  <c:v>Regulatory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'2_MetaAnalysis'!$U$6:$U$11</c:f>
              <c:numCache>
                <c:formatCode>General</c:formatCode>
                <c:ptCount val="6"/>
                <c:pt idx="0">
                  <c:v>4</c:v>
                </c:pt>
                <c:pt idx="1">
                  <c:v>7</c:v>
                </c:pt>
                <c:pt idx="2">
                  <c:v>10</c:v>
                </c:pt>
                <c:pt idx="3">
                  <c:v>5</c:v>
                </c:pt>
                <c:pt idx="4">
                  <c:v>2</c:v>
                </c:pt>
                <c:pt idx="5">
                  <c:v>3</c:v>
                </c:pt>
              </c:numCache>
            </c:numRef>
          </c:val>
          <c:extLst>
            <c:ext xmlns:c16="http://schemas.microsoft.com/office/drawing/2014/chart" uri="{C3380CC4-5D6E-409C-BE32-E72D297353CC}">
              <c16:uniqueId val="{00000003-DB32-4D8C-8573-C2FDB19331DF}"/>
            </c:ext>
          </c:extLst>
        </c:ser>
        <c:ser>
          <c:idx val="4"/>
          <c:order val="4"/>
          <c:tx>
            <c:strRef>
              <c:f>'2_MetaAnalysis'!$V$5</c:f>
              <c:strCache>
                <c:ptCount val="1"/>
                <c:pt idx="0">
                  <c:v>Voluntary</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9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'2_MetaAnalysis'!$V$6:$V$11</c:f>
              <c:numCache>
                <c:formatCode>General</c:formatCode>
                <c:ptCount val="6"/>
                <c:pt idx="0">
                  <c:v>0</c:v>
                </c:pt>
                <c:pt idx="1">
                  <c:v>0</c:v>
                </c:pt>
                <c:pt idx="2">
                  <c:v>1</c:v>
                </c:pt>
                <c:pt idx="3">
                  <c:v>0</c:v>
                </c:pt>
                <c:pt idx="4">
                  <c:v>0</c:v>
                </c:pt>
                <c:pt idx="5">
                  <c:v>1</c:v>
                </c:pt>
              </c:numCache>
            </c:numRef>
          </c:val>
          <c:extLst>
            <c:ext xmlns:c16="http://schemas.microsoft.com/office/drawing/2014/chart" uri="{C3380CC4-5D6E-409C-BE32-E72D297353CC}">
              <c16:uniqueId val="{00000004-DB32-4D8C-8573-C2FDB19331DF}"/>
            </c:ext>
          </c:extLst>
        </c:ser>
        <c:ser>
          <c:idx val="5"/>
          <c:order val="5"/>
          <c:tx>
            <c:strRef>
              <c:f>'2_MetaAnalysis'!$W$5</c:f>
              <c:strCache>
                <c:ptCount val="1"/>
                <c:pt idx="0">
                  <c:v>Market</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'2_MetaAnalysis'!$W$6:$W$11</c:f>
              <c:numCache>
                <c:formatCode>General</c:formatCode>
                <c:ptCount val="6"/>
                <c:pt idx="0">
                  <c:v>0</c:v>
                </c:pt>
                <c:pt idx="1">
                  <c:v>2</c:v>
                </c:pt>
                <c:pt idx="2">
                  <c:v>0</c:v>
                </c:pt>
                <c:pt idx="3">
                  <c:v>1</c:v>
                </c:pt>
                <c:pt idx="4">
                  <c:v>1</c:v>
                </c:pt>
                <c:pt idx="5">
                  <c:v>0</c:v>
                </c:pt>
              </c:numCache>
            </c:numRef>
          </c:val>
          <c:extLst>
            <c:ext xmlns:c16="http://schemas.microsoft.com/office/drawing/2014/chart" uri="{C3380CC4-5D6E-409C-BE32-E72D297353CC}">
              <c16:uniqueId val="{00000005-DB32-4D8C-8573-C2FDB19331DF}"/>
            </c:ext>
          </c:extLst>
        </c:ser>
        <c:ser>
          <c:idx val="6"/>
          <c:order val="6"/>
          <c:tx>
            <c:strRef>
              <c:f>'2_MetaAnalysis'!$X$5</c:f>
              <c:strCache>
                <c:ptCount val="1"/>
                <c:pt idx="0">
                  <c:v>Fiscal</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9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'2_MetaAnalysis'!$X$6:$X$11</c:f>
              <c:numCache>
                <c:formatCode>General</c:formatCode>
                <c:ptCount val="6"/>
                <c:pt idx="0">
                  <c:v>5</c:v>
                </c:pt>
                <c:pt idx="1">
                  <c:v>1</c:v>
                </c:pt>
                <c:pt idx="2">
                  <c:v>1</c:v>
                </c:pt>
                <c:pt idx="3">
                  <c:v>1</c:v>
                </c:pt>
                <c:pt idx="4">
                  <c:v>7</c:v>
                </c:pt>
                <c:pt idx="5">
                  <c:v>0</c:v>
                </c:pt>
              </c:numCache>
            </c:numRef>
          </c:val>
          <c:extLst>
            <c:ext xmlns:c16="http://schemas.microsoft.com/office/drawing/2014/chart" uri="{C3380CC4-5D6E-409C-BE32-E72D297353CC}">
              <c16:uniqueId val="{00000006-DB32-4D8C-8573-C2FDB19331DF}"/>
            </c:ext>
          </c:extLst>
        </c:ser>
        <c:ser>
          <c:idx val="7"/>
          <c:order val="7"/>
          <c:tx>
            <c:strRef>
              <c:f>'2_MetaAnalysis'!$Y$5</c:f>
              <c:strCache>
                <c:ptCount val="1"/>
                <c:pt idx="0">
                  <c:v>?</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9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'2_MetaAnalysis'!$Y$6:$Y$11</c:f>
              <c:numCache>
                <c:formatCode>General</c:formatCode>
                <c:ptCount val="6"/>
                <c:pt idx="0">
                  <c:v>2</c:v>
                </c:pt>
                <c:pt idx="1">
                  <c:v>2</c:v>
                </c:pt>
                <c:pt idx="2">
                  <c:v>5</c:v>
                </c:pt>
                <c:pt idx="3">
                  <c:v>3</c:v>
                </c:pt>
                <c:pt idx="4">
                  <c:v>4</c:v>
                </c:pt>
                <c:pt idx="5">
                  <c:v>0</c:v>
                </c:pt>
              </c:numCache>
            </c:numRef>
          </c:val>
          <c:extLst>
            <c:ext xmlns:c16="http://schemas.microsoft.com/office/drawing/2014/chart" uri="{C3380CC4-5D6E-409C-BE32-E72D297353CC}">
              <c16:uniqueId val="{00000007-DB32-4D8C-8573-C2FDB19331DF}"/>
            </c:ext>
          </c:extLst>
        </c:ser>
        <c:ser>
          <c:idx val="8"/>
          <c:order val="8"/>
          <c:tx>
            <c:strRef>
              <c:f>'2_MetaAnalysis'!$Z$5</c:f>
              <c:strCache>
                <c:ptCount val="1"/>
                <c:pt idx="0">
                  <c:v>Various / other</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9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'2_MetaAnalysis'!$Z$6:$Z$11</c:f>
              <c:numCache>
                <c:formatCode>General</c:formatCode>
                <c:ptCount val="6"/>
                <c:pt idx="0">
                  <c:v>5</c:v>
                </c:pt>
                <c:pt idx="1">
                  <c:v>7</c:v>
                </c:pt>
                <c:pt idx="2">
                  <c:v>6</c:v>
                </c:pt>
                <c:pt idx="3">
                  <c:v>3</c:v>
                </c:pt>
                <c:pt idx="4">
                  <c:v>2</c:v>
                </c:pt>
                <c:pt idx="5">
                  <c:v>2</c:v>
                </c:pt>
              </c:numCache>
            </c:numRef>
          </c:val>
          <c:extLst>
            <c:ext xmlns:c16="http://schemas.microsoft.com/office/drawing/2014/chart" uri="{C3380CC4-5D6E-409C-BE32-E72D297353CC}">
              <c16:uniqueId val="{00000008-DB32-4D8C-8573-C2FDB19331DF}"/>
            </c:ext>
          </c:extLst>
        </c:ser>
        <c:dLbls>
          <c:showLegendKey val="0"/>
          <c:showVal val="0"/>
          <c:showCatName val="0"/>
          <c:showSerName val="0"/>
          <c:showPercent val="0"/>
          <c:showBubbleSize val="0"/>
        </c:dLbls>
        <c:gapWidth val="150"/>
        <c:overlap val="100"/>
        <c:axId val="2835200"/>
        <c:axId val="2836736"/>
      </c:barChart>
      <c:catAx>
        <c:axId val="28352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6736"/>
        <c:crosses val="autoZero"/>
        <c:auto val="1"/>
        <c:lblAlgn val="ctr"/>
        <c:lblOffset val="100"/>
        <c:noMultiLvlLbl val="0"/>
      </c:catAx>
      <c:valAx>
        <c:axId val="2836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5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Policy mix - demand side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'2_MetaAnalysis'!$AA$5</c:f>
              <c:strCache>
                <c:ptCount val="1"/>
                <c:pt idx="0">
                  <c:v>Dem-Investment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'2_MetaAnalysis'!$AA$6:$AA$11</c:f>
              <c:numCache>
                <c:formatCode>General</c:formatCode>
                <c:ptCount val="6"/>
                <c:pt idx="0">
                  <c:v>3</c:v>
                </c:pt>
                <c:pt idx="1">
                  <c:v>4</c:v>
                </c:pt>
                <c:pt idx="2">
                  <c:v>4</c:v>
                </c:pt>
                <c:pt idx="3">
                  <c:v>0</c:v>
                </c:pt>
                <c:pt idx="4">
                  <c:v>0</c:v>
                </c:pt>
                <c:pt idx="5">
                  <c:v>2</c:v>
                </c:pt>
              </c:numCache>
            </c:numRef>
          </c:val>
          <c:extLst>
            <c:ext xmlns:c16="http://schemas.microsoft.com/office/drawing/2014/chart" uri="{C3380CC4-5D6E-409C-BE32-E72D297353CC}">
              <c16:uniqueId val="{00000000-2899-47FF-9EBB-A02A292EE882}"/>
            </c:ext>
          </c:extLst>
        </c:ser>
        <c:ser>
          <c:idx val="1"/>
          <c:order val="1"/>
          <c:tx>
            <c:strRef>
              <c:f>'2_MetaAnalysis'!$AB$5</c:f>
              <c:strCache>
                <c:ptCount val="1"/>
                <c:pt idx="0">
                  <c:v>Dem-Information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'2_MetaAnalysis'!$AB$6:$AB$11</c:f>
              <c:numCache>
                <c:formatCode>General</c:formatCode>
                <c:ptCount val="6"/>
                <c:pt idx="0">
                  <c:v>4</c:v>
                </c:pt>
                <c:pt idx="1">
                  <c:v>5</c:v>
                </c:pt>
                <c:pt idx="2">
                  <c:v>2</c:v>
                </c:pt>
                <c:pt idx="3">
                  <c:v>1</c:v>
                </c:pt>
                <c:pt idx="4">
                  <c:v>0</c:v>
                </c:pt>
                <c:pt idx="5">
                  <c:v>0</c:v>
                </c:pt>
              </c:numCache>
            </c:numRef>
          </c:val>
          <c:extLst>
            <c:ext xmlns:c16="http://schemas.microsoft.com/office/drawing/2014/chart" uri="{C3380CC4-5D6E-409C-BE32-E72D297353CC}">
              <c16:uniqueId val="{00000001-2899-47FF-9EBB-A02A292EE882}"/>
            </c:ext>
          </c:extLst>
        </c:ser>
        <c:ser>
          <c:idx val="2"/>
          <c:order val="2"/>
          <c:tx>
            <c:strRef>
              <c:f>'2_MetaAnalysis'!$AC$5</c:f>
              <c:strCache>
                <c:ptCount val="1"/>
                <c:pt idx="0">
                  <c:v>Dem-Partner</c:v>
                </c:pt>
              </c:strCache>
            </c:strRef>
          </c:tx>
          <c:spPr>
            <a:solidFill>
              <a:schemeClr val="accent3"/>
            </a:solidFill>
            <a:ln>
              <a:noFill/>
            </a:ln>
            <a:effectLst/>
          </c:spPr>
          <c:invertIfNegative val="0"/>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'2_MetaAnalysis'!$AC$6:$AC$11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899-47FF-9EBB-A02A292EE882}"/>
            </c:ext>
          </c:extLst>
        </c:ser>
        <c:ser>
          <c:idx val="3"/>
          <c:order val="3"/>
          <c:tx>
            <c:strRef>
              <c:f>'2_MetaAnalysis'!$AD$5</c:f>
              <c:strCache>
                <c:ptCount val="1"/>
                <c:pt idx="0">
                  <c:v>Dem-Regulatory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'2_MetaAnalysis'!$AD$6:$AD$11</c:f>
              <c:numCache>
                <c:formatCode>General</c:formatCode>
                <c:ptCount val="6"/>
                <c:pt idx="0">
                  <c:v>2</c:v>
                </c:pt>
                <c:pt idx="1">
                  <c:v>5</c:v>
                </c:pt>
                <c:pt idx="2">
                  <c:v>1</c:v>
                </c:pt>
                <c:pt idx="3">
                  <c:v>1</c:v>
                </c:pt>
                <c:pt idx="4">
                  <c:v>0</c:v>
                </c:pt>
                <c:pt idx="5">
                  <c:v>0</c:v>
                </c:pt>
              </c:numCache>
            </c:numRef>
          </c:val>
          <c:extLst>
            <c:ext xmlns:c16="http://schemas.microsoft.com/office/drawing/2014/chart" uri="{C3380CC4-5D6E-409C-BE32-E72D297353CC}">
              <c16:uniqueId val="{00000003-2899-47FF-9EBB-A02A292EE882}"/>
            </c:ext>
          </c:extLst>
        </c:ser>
        <c:ser>
          <c:idx val="4"/>
          <c:order val="4"/>
          <c:tx>
            <c:strRef>
              <c:f>'2_MetaAnalysis'!$AE$5</c:f>
              <c:strCache>
                <c:ptCount val="1"/>
                <c:pt idx="0">
                  <c:v>Dem-Voluntary</c:v>
                </c:pt>
              </c:strCache>
            </c:strRef>
          </c:tx>
          <c:spPr>
            <a:solidFill>
              <a:schemeClr val="accent5"/>
            </a:solidFill>
            <a:ln>
              <a:noFill/>
            </a:ln>
            <a:effectLst/>
          </c:spPr>
          <c:invertIfNegative val="0"/>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'2_MetaAnalysis'!$AE$6:$AE$11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2899-47FF-9EBB-A02A292EE882}"/>
            </c:ext>
          </c:extLst>
        </c:ser>
        <c:ser>
          <c:idx val="5"/>
          <c:order val="5"/>
          <c:tx>
            <c:strRef>
              <c:f>'2_MetaAnalysis'!$AF$5</c:f>
              <c:strCache>
                <c:ptCount val="1"/>
                <c:pt idx="0">
                  <c:v>Dem-Market</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'2_MetaAnalysis'!$AF$6:$AF$11</c:f>
              <c:numCache>
                <c:formatCode>General</c:formatCode>
                <c:ptCount val="6"/>
                <c:pt idx="0">
                  <c:v>0</c:v>
                </c:pt>
                <c:pt idx="1">
                  <c:v>2</c:v>
                </c:pt>
                <c:pt idx="2">
                  <c:v>0</c:v>
                </c:pt>
                <c:pt idx="3">
                  <c:v>1</c:v>
                </c:pt>
                <c:pt idx="4">
                  <c:v>0</c:v>
                </c:pt>
                <c:pt idx="5">
                  <c:v>0</c:v>
                </c:pt>
              </c:numCache>
            </c:numRef>
          </c:val>
          <c:extLst>
            <c:ext xmlns:c16="http://schemas.microsoft.com/office/drawing/2014/chart" uri="{C3380CC4-5D6E-409C-BE32-E72D297353CC}">
              <c16:uniqueId val="{00000005-2899-47FF-9EBB-A02A292EE882}"/>
            </c:ext>
          </c:extLst>
        </c:ser>
        <c:ser>
          <c:idx val="6"/>
          <c:order val="6"/>
          <c:tx>
            <c:strRef>
              <c:f>'2_MetaAnalysis'!$AG$5</c:f>
              <c:strCache>
                <c:ptCount val="1"/>
                <c:pt idx="0">
                  <c:v>Dem-Fiscal</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'2_MetaAnalysis'!$AG$6:$AG$11</c:f>
              <c:numCache>
                <c:formatCode>General</c:formatCode>
                <c:ptCount val="6"/>
                <c:pt idx="0">
                  <c:v>3</c:v>
                </c:pt>
                <c:pt idx="1">
                  <c:v>0</c:v>
                </c:pt>
                <c:pt idx="2">
                  <c:v>0</c:v>
                </c:pt>
                <c:pt idx="3">
                  <c:v>0</c:v>
                </c:pt>
                <c:pt idx="4">
                  <c:v>0</c:v>
                </c:pt>
                <c:pt idx="5">
                  <c:v>0</c:v>
                </c:pt>
              </c:numCache>
            </c:numRef>
          </c:val>
          <c:extLst>
            <c:ext xmlns:c16="http://schemas.microsoft.com/office/drawing/2014/chart" uri="{C3380CC4-5D6E-409C-BE32-E72D297353CC}">
              <c16:uniqueId val="{00000006-2899-47FF-9EBB-A02A292EE882}"/>
            </c:ext>
          </c:extLst>
        </c:ser>
        <c:ser>
          <c:idx val="7"/>
          <c:order val="7"/>
          <c:tx>
            <c:strRef>
              <c:f>'2_MetaAnalysis'!$AH$5</c:f>
              <c:strCache>
                <c:ptCount val="1"/>
                <c:pt idx="0">
                  <c:v>Dem-?</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'2_MetaAnalysis'!$AH$6:$AH$11</c:f>
              <c:numCache>
                <c:formatCode>General</c:formatCode>
                <c:ptCount val="6"/>
                <c:pt idx="0">
                  <c:v>0</c:v>
                </c:pt>
                <c:pt idx="1">
                  <c:v>1</c:v>
                </c:pt>
                <c:pt idx="2">
                  <c:v>3</c:v>
                </c:pt>
                <c:pt idx="3">
                  <c:v>0</c:v>
                </c:pt>
                <c:pt idx="4">
                  <c:v>0</c:v>
                </c:pt>
                <c:pt idx="5">
                  <c:v>0</c:v>
                </c:pt>
              </c:numCache>
            </c:numRef>
          </c:val>
          <c:extLst>
            <c:ext xmlns:c16="http://schemas.microsoft.com/office/drawing/2014/chart" uri="{C3380CC4-5D6E-409C-BE32-E72D297353CC}">
              <c16:uniqueId val="{00000007-2899-47FF-9EBB-A02A292EE882}"/>
            </c:ext>
          </c:extLst>
        </c:ser>
        <c:ser>
          <c:idx val="8"/>
          <c:order val="8"/>
          <c:tx>
            <c:strRef>
              <c:f>'2_MetaAnalysis'!$AI$5</c:f>
              <c:strCache>
                <c:ptCount val="1"/>
                <c:pt idx="0">
                  <c:v>Dem-Various/other</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'2_MetaAnalysis'!$A$6:$A$11</c:f>
              <c:strCache>
                <c:ptCount val="6"/>
                <c:pt idx="0">
                  <c:v>Industry and Business</c:v>
                </c:pt>
                <c:pt idx="1">
                  <c:v>Improving Homes</c:v>
                </c:pt>
                <c:pt idx="2">
                  <c:v>Low Carbon Transport</c:v>
                </c:pt>
                <c:pt idx="3">
                  <c:v>Clean, Smart and Flexible Power</c:v>
                </c:pt>
                <c:pt idx="4">
                  <c:v>Natural Resources</c:v>
                </c:pt>
                <c:pt idx="5">
                  <c:v>Public Sector</c:v>
                </c:pt>
              </c:strCache>
            </c:strRef>
          </c:cat>
          <c:val>
            <c:numRef>
              <c:f>'2_MetaAnalysis'!$AI$6:$AI$11</c:f>
              <c:numCache>
                <c:formatCode>General</c:formatCode>
                <c:ptCount val="6"/>
                <c:pt idx="0">
                  <c:v>1</c:v>
                </c:pt>
                <c:pt idx="1">
                  <c:v>6</c:v>
                </c:pt>
                <c:pt idx="2">
                  <c:v>1</c:v>
                </c:pt>
                <c:pt idx="3">
                  <c:v>0</c:v>
                </c:pt>
                <c:pt idx="4">
                  <c:v>0</c:v>
                </c:pt>
                <c:pt idx="5">
                  <c:v>0</c:v>
                </c:pt>
              </c:numCache>
            </c:numRef>
          </c:val>
          <c:extLst>
            <c:ext xmlns:c16="http://schemas.microsoft.com/office/drawing/2014/chart" uri="{C3380CC4-5D6E-409C-BE32-E72D297353CC}">
              <c16:uniqueId val="{00000008-2899-47FF-9EBB-A02A292EE882}"/>
            </c:ext>
          </c:extLst>
        </c:ser>
        <c:dLbls>
          <c:showLegendKey val="0"/>
          <c:showVal val="0"/>
          <c:showCatName val="0"/>
          <c:showSerName val="0"/>
          <c:showPercent val="0"/>
          <c:showBubbleSize val="0"/>
        </c:dLbls>
        <c:gapWidth val="150"/>
        <c:overlap val="100"/>
        <c:axId val="169106816"/>
        <c:axId val="169112704"/>
      </c:barChart>
      <c:catAx>
        <c:axId val="1691068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12704"/>
        <c:crosses val="autoZero"/>
        <c:auto val="1"/>
        <c:lblAlgn val="ctr"/>
        <c:lblOffset val="100"/>
        <c:noMultiLvlLbl val="0"/>
      </c:catAx>
      <c:valAx>
        <c:axId val="16911270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06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772482</xdr:colOff>
      <xdr:row>16</xdr:row>
      <xdr:rowOff>132743</xdr:rowOff>
    </xdr:from>
    <xdr:to>
      <xdr:col>3</xdr:col>
      <xdr:colOff>487482</xdr:colOff>
      <xdr:row>23</xdr:row>
      <xdr:rowOff>115979</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729962</xdr:colOff>
      <xdr:row>24</xdr:row>
      <xdr:rowOff>168429</xdr:rowOff>
    </xdr:from>
    <xdr:to>
      <xdr:col>3</xdr:col>
      <xdr:colOff>444962</xdr:colOff>
      <xdr:row>32</xdr:row>
      <xdr:rowOff>73223</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731643</xdr:colOff>
      <xdr:row>32</xdr:row>
      <xdr:rowOff>137271</xdr:rowOff>
    </xdr:from>
    <xdr:to>
      <xdr:col>3</xdr:col>
      <xdr:colOff>446643</xdr:colOff>
      <xdr:row>40</xdr:row>
      <xdr:rowOff>42065</xdr:rowOff>
    </xdr:to>
    <xdr:graphicFrame macro="">
      <xdr:nvGraphicFramePr>
        <xdr:cNvPr id="17" name="Chart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719280</xdr:colOff>
      <xdr:row>40</xdr:row>
      <xdr:rowOff>122094</xdr:rowOff>
    </xdr:from>
    <xdr:to>
      <xdr:col>3</xdr:col>
      <xdr:colOff>434280</xdr:colOff>
      <xdr:row>48</xdr:row>
      <xdr:rowOff>26888</xdr:rowOff>
    </xdr:to>
    <xdr:graphicFrame macro="">
      <xdr:nvGraphicFramePr>
        <xdr:cNvPr id="19" name="Chart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692727</xdr:colOff>
      <xdr:row>48</xdr:row>
      <xdr:rowOff>38966</xdr:rowOff>
    </xdr:from>
    <xdr:to>
      <xdr:col>3</xdr:col>
      <xdr:colOff>407727</xdr:colOff>
      <xdr:row>55</xdr:row>
      <xdr:rowOff>133350</xdr:rowOff>
    </xdr:to>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705054</xdr:colOff>
      <xdr:row>56</xdr:row>
      <xdr:rowOff>17571</xdr:rowOff>
    </xdr:from>
    <xdr:to>
      <xdr:col>3</xdr:col>
      <xdr:colOff>420054</xdr:colOff>
      <xdr:row>63</xdr:row>
      <xdr:rowOff>112865</xdr:rowOff>
    </xdr:to>
    <xdr:graphicFrame macro="">
      <xdr:nvGraphicFramePr>
        <xdr:cNvPr id="23" name="Chart 22">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287208</xdr:colOff>
      <xdr:row>26</xdr:row>
      <xdr:rowOff>132892</xdr:rowOff>
    </xdr:from>
    <xdr:to>
      <xdr:col>21</xdr:col>
      <xdr:colOff>437589</xdr:colOff>
      <xdr:row>53</xdr:row>
      <xdr:rowOff>115421</xdr:rowOff>
    </xdr:to>
    <xdr:graphicFrame macro="">
      <xdr:nvGraphicFramePr>
        <xdr:cNvPr id="25" name="Chart 24">
          <a:extLst>
            <a:ext uri="{FF2B5EF4-FFF2-40B4-BE49-F238E27FC236}">
              <a16:creationId xmlns:a16="http://schemas.microsoft.com/office/drawing/2014/main" id="{00000000-0008-0000-02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95250</xdr:colOff>
      <xdr:row>71</xdr:row>
      <xdr:rowOff>136070</xdr:rowOff>
    </xdr:from>
    <xdr:to>
      <xdr:col>18</xdr:col>
      <xdr:colOff>66676</xdr:colOff>
      <xdr:row>85</xdr:row>
      <xdr:rowOff>162282</xdr:rowOff>
    </xdr:to>
    <xdr:graphicFrame macro="">
      <xdr:nvGraphicFramePr>
        <xdr:cNvPr id="29" name="Chart 28">
          <a:extLst>
            <a:ext uri="{FF2B5EF4-FFF2-40B4-BE49-F238E27FC236}">
              <a16:creationId xmlns:a16="http://schemas.microsoft.com/office/drawing/2014/main" id="{00000000-0008-0000-02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375346</xdr:colOff>
      <xdr:row>71</xdr:row>
      <xdr:rowOff>81643</xdr:rowOff>
    </xdr:from>
    <xdr:to>
      <xdr:col>29</xdr:col>
      <xdr:colOff>33006</xdr:colOff>
      <xdr:row>85</xdr:row>
      <xdr:rowOff>128666</xdr:rowOff>
    </xdr:to>
    <xdr:graphicFrame macro="">
      <xdr:nvGraphicFramePr>
        <xdr:cNvPr id="30" name="Chart 29">
          <a:extLst>
            <a:ext uri="{FF2B5EF4-FFF2-40B4-BE49-F238E27FC236}">
              <a16:creationId xmlns:a16="http://schemas.microsoft.com/office/drawing/2014/main" id="{00000000-0008-0000-02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19051</xdr:colOff>
      <xdr:row>86</xdr:row>
      <xdr:rowOff>57149</xdr:rowOff>
    </xdr:from>
    <xdr:to>
      <xdr:col>18</xdr:col>
      <xdr:colOff>95251</xdr:colOff>
      <xdr:row>100</xdr:row>
      <xdr:rowOff>133349</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411263</xdr:colOff>
      <xdr:row>86</xdr:row>
      <xdr:rowOff>28575</xdr:rowOff>
    </xdr:from>
    <xdr:to>
      <xdr:col>29</xdr:col>
      <xdr:colOff>53235</xdr:colOff>
      <xdr:row>100</xdr:row>
      <xdr:rowOff>104775</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22</xdr:col>
      <xdr:colOff>431425</xdr:colOff>
      <xdr:row>26</xdr:row>
      <xdr:rowOff>29136</xdr:rowOff>
    </xdr:from>
    <xdr:to>
      <xdr:col>33</xdr:col>
      <xdr:colOff>72836</xdr:colOff>
      <xdr:row>40</xdr:row>
      <xdr:rowOff>82924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22</xdr:col>
      <xdr:colOff>392205</xdr:colOff>
      <xdr:row>41</xdr:row>
      <xdr:rowOff>197225</xdr:rowOff>
    </xdr:from>
    <xdr:to>
      <xdr:col>33</xdr:col>
      <xdr:colOff>33616</xdr:colOff>
      <xdr:row>56</xdr:row>
      <xdr:rowOff>60513</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11206</xdr:colOff>
      <xdr:row>101</xdr:row>
      <xdr:rowOff>179295</xdr:rowOff>
    </xdr:from>
    <xdr:to>
      <xdr:col>21</xdr:col>
      <xdr:colOff>302559</xdr:colOff>
      <xdr:row>119</xdr:row>
      <xdr:rowOff>149679</xdr:rowOff>
    </xdr:to>
    <xdr:graphicFrame macro="">
      <xdr:nvGraphicFramePr>
        <xdr:cNvPr id="16" name="Chart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22</xdr:col>
      <xdr:colOff>217715</xdr:colOff>
      <xdr:row>101</xdr:row>
      <xdr:rowOff>129668</xdr:rowOff>
    </xdr:from>
    <xdr:to>
      <xdr:col>36</xdr:col>
      <xdr:colOff>116061</xdr:colOff>
      <xdr:row>119</xdr:row>
      <xdr:rowOff>136071</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168730</xdr:colOff>
      <xdr:row>63</xdr:row>
      <xdr:rowOff>136070</xdr:rowOff>
    </xdr:from>
    <xdr:to>
      <xdr:col>4</xdr:col>
      <xdr:colOff>217714</xdr:colOff>
      <xdr:row>73</xdr:row>
      <xdr:rowOff>54425</xdr:rowOff>
    </xdr:to>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36</xdr:col>
      <xdr:colOff>353786</xdr:colOff>
      <xdr:row>25</xdr:row>
      <xdr:rowOff>122464</xdr:rowOff>
    </xdr:from>
    <xdr:to>
      <xdr:col>52</xdr:col>
      <xdr:colOff>109559</xdr:colOff>
      <xdr:row>52</xdr:row>
      <xdr:rowOff>104993</xdr:rowOff>
    </xdr:to>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5" displayName="Table5" ref="B11:C16" totalsRowShown="0" headerRowDxfId="274" dataDxfId="273">
  <autoFilter ref="B11:C16" xr:uid="{00000000-0009-0000-0100-000002000000}"/>
  <tableColumns count="2">
    <tableColumn id="1" xr3:uid="{00000000-0010-0000-0000-000001000000}" name="Worksheet name" dataDxfId="272"/>
    <tableColumn id="2" xr3:uid="{00000000-0010-0000-0000-000002000000}" name="Worksheet content" dataDxfId="271"/>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6" displayName="Table6" ref="A84:E94" totalsRowShown="0">
  <autoFilter ref="A84:E94" xr:uid="{00000000-0009-0000-0100-000006000000}"/>
  <tableColumns count="5">
    <tableColumn id="1" xr3:uid="{00000000-0010-0000-0900-000001000000}" name="Type of policy" dataDxfId="25"/>
    <tableColumn id="2" xr3:uid="{00000000-0010-0000-0900-000002000000}" name="Overall" dataDxfId="24"/>
    <tableColumn id="3" xr3:uid="{00000000-0010-0000-0900-000003000000}" name="%" dataDxfId="23">
      <calculatedColumnFormula>B85/$B$94</calculatedColumnFormula>
    </tableColumn>
    <tableColumn id="4" xr3:uid="{00000000-0010-0000-0900-000004000000}" name="Demand focus" dataDxfId="22"/>
    <tableColumn id="5" xr3:uid="{00000000-0010-0000-0900-000005000000}" name="%2" dataDxfId="21">
      <calculatedColumnFormula>D85/$D$94</calculatedColumnFormula>
    </tableColumn>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3:I23" totalsRowShown="0" headerRowDxfId="20" dataDxfId="19">
  <autoFilter ref="A3:I23" xr:uid="{00000000-0009-0000-0100-000004000000}"/>
  <tableColumns count="9">
    <tableColumn id="1" xr3:uid="{00000000-0010-0000-0A00-000001000000}" name="Page" dataDxfId="18"/>
    <tableColumn id="2" xr3:uid="{00000000-0010-0000-0A00-000002000000}" name="Policy / proposal" dataDxfId="17"/>
    <tableColumn id="3" xr3:uid="{00000000-0010-0000-0A00-000003000000}" name="Sector" dataDxfId="16"/>
    <tableColumn id="4" xr3:uid="{00000000-0010-0000-0A00-000004000000}" name="Type of policy / proposal" dataDxfId="15"/>
    <tableColumn id="5" xr3:uid="{00000000-0010-0000-0A00-000005000000}" name="Details" dataDxfId="14"/>
    <tableColumn id="6" xr3:uid="{00000000-0010-0000-0A00-000006000000}" name="Energy demand focus" dataDxfId="13"/>
    <tableColumn id="7" xr3:uid="{00000000-0010-0000-0A00-000007000000}" name="Timescales" dataDxfId="12"/>
    <tableColumn id="8" xr3:uid="{00000000-0010-0000-0A00-000008000000}" name="Investment" dataDxfId="11"/>
    <tableColumn id="10" xr3:uid="{00000000-0010-0000-0A00-00000A000000}" name="Comments" dataDxfId="10"/>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B000000}" name="Table22" displayName="Table22" ref="A28:H40" totalsRowShown="0" headerRowDxfId="9" dataDxfId="8">
  <autoFilter ref="A28:H40" xr:uid="{00000000-0009-0000-0100-000016000000}"/>
  <tableColumns count="8">
    <tableColumn id="1" xr3:uid="{00000000-0010-0000-0B00-000001000000}" name="Page" dataDxfId="7"/>
    <tableColumn id="2" xr3:uid="{00000000-0010-0000-0B00-000002000000}" name="Scheme" dataDxfId="6"/>
    <tableColumn id="3" xr3:uid="{00000000-0010-0000-0B00-000003000000}" name="Sector" dataDxfId="5"/>
    <tableColumn id="4" xr3:uid="{00000000-0010-0000-0B00-000004000000}" name="Type" dataDxfId="4"/>
    <tableColumn id="5" xr3:uid="{00000000-0010-0000-0B00-000005000000}" name="Details" dataDxfId="3"/>
    <tableColumn id="6" xr3:uid="{00000000-0010-0000-0B00-000006000000}" name="Energy demand focus?" dataDxfId="2"/>
    <tableColumn id="7" xr3:uid="{00000000-0010-0000-0B00-000007000000}" name="Timescales" dataDxfId="1"/>
    <tableColumn id="8" xr3:uid="{00000000-0010-0000-0B00-000008000000}" name="Comments" dataDxfId="0"/>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_Industry" displayName="Tab_Industry" ref="A6:X35" totalsRowShown="0" headerRowDxfId="269" dataDxfId="268" tableBorderDxfId="267">
  <autoFilter ref="A6:X35" xr:uid="{00000000-0009-0000-0100-000001000000}"/>
  <tableColumns count="24">
    <tableColumn id="1" xr3:uid="{00000000-0010-0000-0100-000001000000}" name="Page" dataDxfId="266"/>
    <tableColumn id="2" xr3:uid="{00000000-0010-0000-0100-000002000000}" name="Number" dataDxfId="265"/>
    <tableColumn id="12" xr3:uid="{00000000-0010-0000-0100-00000C000000}" name="Area" dataDxfId="264"/>
    <tableColumn id="3" xr3:uid="{00000000-0010-0000-0100-000003000000}" name="Policy / proposal" dataDxfId="263"/>
    <tableColumn id="4" xr3:uid="{00000000-0010-0000-0100-000004000000}" name="Type of policy / proposal" dataDxfId="262"/>
    <tableColumn id="25" xr3:uid="{00000000-0010-0000-0100-000019000000}" name="Category" dataDxfId="261"/>
    <tableColumn id="6" xr3:uid="{00000000-0010-0000-0100-000006000000}" name="Timescales" dataDxfId="260"/>
    <tableColumn id="7" xr3:uid="{00000000-0010-0000-0100-000007000000}" name="Investment" dataDxfId="259"/>
    <tableColumn id="8" xr3:uid="{00000000-0010-0000-0100-000008000000}" name="Lead department" dataDxfId="258"/>
    <tableColumn id="21" xr3:uid="{00000000-0010-0000-0100-000015000000}" name="Spec target / outcome" dataDxfId="257"/>
    <tableColumn id="22" xr3:uid="{00000000-0010-0000-0100-000016000000}" name="Obligations" dataDxfId="256"/>
    <tableColumn id="5" xr3:uid="{00000000-0010-0000-0100-000005000000}" name="Energy demand focus" dataDxfId="255"/>
    <tableColumn id="11" xr3:uid="{00000000-0010-0000-0100-00000B000000}" name="Overlap" dataDxfId="254"/>
    <tableColumn id="10" xr3:uid="{00000000-0010-0000-0100-00000A000000}" name="Comments" dataDxfId="253"/>
    <tableColumn id="13" xr3:uid="{00000000-0010-0000-0100-00000D000000}" name="Time" dataDxfId="252"/>
    <tableColumn id="14" xr3:uid="{00000000-0010-0000-0100-00000E000000}" name="Inv" dataDxfId="251">
      <calculatedColumnFormula>COUNTA(#REF!)</calculatedColumnFormula>
    </tableColumn>
    <tableColumn id="15" xr3:uid="{00000000-0010-0000-0100-00000F000000}" name="Dep" dataDxfId="250"/>
    <tableColumn id="23" xr3:uid="{00000000-0010-0000-0100-000017000000}" name="Targ" dataDxfId="249">
      <calculatedColumnFormula>COUNTA(Tab_Industry[[#This Row],[Spec target / outcome]])</calculatedColumnFormula>
    </tableColumn>
    <tableColumn id="24" xr3:uid="{00000000-0010-0000-0100-000018000000}" name="Obl" dataDxfId="248">
      <calculatedColumnFormula>COUNTA(Tab_Industry[[#This Row],[Obligations]])</calculatedColumnFormula>
    </tableColumn>
    <tableColumn id="16" xr3:uid="{00000000-0010-0000-0100-000010000000}" name="Dem-yes" dataDxfId="247">
      <calculatedColumnFormula>COUNTIF(L7,"=Y")</calculatedColumnFormula>
    </tableColumn>
    <tableColumn id="17" xr3:uid="{00000000-0010-0000-0100-000011000000}" name="Dem-no" dataDxfId="246">
      <calculatedColumnFormula>COUNTIF(L7,"=N")</calculatedColumnFormula>
    </tableColumn>
    <tableColumn id="28" xr3:uid="{00000000-0010-0000-0100-00001C000000}" name="Dem-category" dataDxfId="245">
      <calculatedColumnFormula>IF(Tab_Industry[[#This Row],[Energy demand focus]]="Y",Tab_Industry[[#This Row],[Category]],0)</calculatedColumnFormula>
    </tableColumn>
    <tableColumn id="26" xr3:uid="{00000000-0010-0000-0100-00001A000000}" name="Dem-inv" dataDxfId="244">
      <calculatedColumnFormula>IF(Tab_Industry[[#This Row],[Energy demand focus]]="Y",Tab_Industry[[#This Row],[Investment]],0)</calculatedColumnFormula>
    </tableColumn>
    <tableColumn id="27" xr3:uid="{00000000-0010-0000-0100-00001B000000}" name="Sup-inv" dataDxfId="243">
      <calculatedColumnFormula>IF(Tab_Industry[[#This Row],[Energy demand focus]]="N",Tab_Industry[[#This Row],[Investment]],0)</calculatedColumnFormula>
    </tableColumn>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_Homes" displayName="Tab_Homes" ref="A43:X83" totalsRowShown="0" headerRowDxfId="242">
  <autoFilter ref="A43:X83" xr:uid="{00000000-0009-0000-0100-000005000000}"/>
  <tableColumns count="24">
    <tableColumn id="1" xr3:uid="{00000000-0010-0000-0200-000001000000}" name="Page" dataDxfId="241"/>
    <tableColumn id="2" xr3:uid="{00000000-0010-0000-0200-000002000000}" name="Number" dataDxfId="240"/>
    <tableColumn id="12" xr3:uid="{00000000-0010-0000-0200-00000C000000}" name="Area" dataDxfId="239"/>
    <tableColumn id="3" xr3:uid="{00000000-0010-0000-0200-000003000000}" name="Policy / proposal" dataDxfId="238"/>
    <tableColumn id="4" xr3:uid="{00000000-0010-0000-0200-000004000000}" name="Type of policy / proposal" dataDxfId="237"/>
    <tableColumn id="21" xr3:uid="{00000000-0010-0000-0200-000015000000}" name="Category" dataDxfId="236"/>
    <tableColumn id="6" xr3:uid="{00000000-0010-0000-0200-000006000000}" name="Timescales" dataDxfId="235"/>
    <tableColumn id="7" xr3:uid="{00000000-0010-0000-0200-000007000000}" name="Investment" dataDxfId="234"/>
    <tableColumn id="11" xr3:uid="{00000000-0010-0000-0200-00000B000000}" name="Lead department" dataDxfId="233"/>
    <tableColumn id="22" xr3:uid="{00000000-0010-0000-0200-000016000000}" name="Spec target / outcomes" dataDxfId="232"/>
    <tableColumn id="23" xr3:uid="{00000000-0010-0000-0200-000017000000}" name="Obligations" dataDxfId="231"/>
    <tableColumn id="5" xr3:uid="{00000000-0010-0000-0200-000005000000}" name="Energy demand focus" dataDxfId="230"/>
    <tableColumn id="10" xr3:uid="{00000000-0010-0000-0200-00000A000000}" name="Overlap" dataDxfId="229"/>
    <tableColumn id="9" xr3:uid="{00000000-0010-0000-0200-000009000000}" name="Comments" dataDxfId="228"/>
    <tableColumn id="13" xr3:uid="{00000000-0010-0000-0200-00000D000000}" name="Time" dataDxfId="227"/>
    <tableColumn id="14" xr3:uid="{00000000-0010-0000-0200-00000E000000}" name="Inv" dataDxfId="226">
      <calculatedColumnFormula>COUNTA(#REF!)</calculatedColumnFormula>
    </tableColumn>
    <tableColumn id="15" xr3:uid="{00000000-0010-0000-0200-00000F000000}" name="Dep" dataDxfId="225"/>
    <tableColumn id="25" xr3:uid="{00000000-0010-0000-0200-000019000000}" name="Targ" dataDxfId="224">
      <calculatedColumnFormula>COUNTA(Tab_Homes[[#This Row],[Spec target / outcomes]])</calculatedColumnFormula>
    </tableColumn>
    <tableColumn id="24" xr3:uid="{00000000-0010-0000-0200-000018000000}" name="Obl" dataDxfId="223">
      <calculatedColumnFormula>COUNTA(Tab_Homes[[#This Row],[Obligations]])</calculatedColumnFormula>
    </tableColumn>
    <tableColumn id="16" xr3:uid="{00000000-0010-0000-0200-000010000000}" name="Dem-yes" dataDxfId="222">
      <calculatedColumnFormula>COUNTIF(L44,"=Y")</calculatedColumnFormula>
    </tableColumn>
    <tableColumn id="17" xr3:uid="{00000000-0010-0000-0200-000011000000}" name="Dem-no" dataDxfId="221">
      <calculatedColumnFormula>COUNTIF(L44,"=N")</calculatedColumnFormula>
    </tableColumn>
    <tableColumn id="28" xr3:uid="{00000000-0010-0000-0200-00001C000000}" name="Dem-category" dataDxfId="220">
      <calculatedColumnFormula>IF(Tab_Homes[[#This Row],[Energy demand focus]]="Y",Tab_Homes[[#This Row],[Category]],0)</calculatedColumnFormula>
    </tableColumn>
    <tableColumn id="26" xr3:uid="{00000000-0010-0000-0200-00001A000000}" name="Dem-inv" dataDxfId="219">
      <calculatedColumnFormula>IF(Tab_Homes[[#This Row],[Energy demand focus]]="Y",Tab_Homes[[#This Row],[Investment]],0)</calculatedColumnFormula>
    </tableColumn>
    <tableColumn id="27" xr3:uid="{00000000-0010-0000-0200-00001B000000}" name="Sup-inv" dataDxfId="218">
      <calculatedColumnFormula>IF(Tab_Homes[[#This Row],[Energy demand focus]]="N",Tab_Homes[[#This Row],[Investment]],0)</calculatedColumnFormula>
    </tableColumn>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_Transport" displayName="Tab_Transport" ref="A91:X141" totalsRowShown="0" headerRowDxfId="217" tableBorderDxfId="216">
  <autoFilter ref="A91:X141" xr:uid="{00000000-0009-0000-0100-000009000000}"/>
  <tableColumns count="24">
    <tableColumn id="1" xr3:uid="{00000000-0010-0000-0300-000001000000}" name="Page" dataDxfId="215"/>
    <tableColumn id="2" xr3:uid="{00000000-0010-0000-0300-000002000000}" name="Number" dataDxfId="214"/>
    <tableColumn id="12" xr3:uid="{00000000-0010-0000-0300-00000C000000}" name="Area" dataDxfId="213"/>
    <tableColumn id="3" xr3:uid="{00000000-0010-0000-0300-000003000000}" name="Policy / proposal" dataDxfId="212"/>
    <tableColumn id="4" xr3:uid="{00000000-0010-0000-0300-000004000000}" name="Type of policy / proposal" dataDxfId="211"/>
    <tableColumn id="23" xr3:uid="{00000000-0010-0000-0300-000017000000}" name="Category" dataDxfId="210"/>
    <tableColumn id="6" xr3:uid="{00000000-0010-0000-0300-000006000000}" name="Timescales" dataDxfId="209"/>
    <tableColumn id="7" xr3:uid="{00000000-0010-0000-0300-000007000000}" name="Investment" dataDxfId="208"/>
    <tableColumn id="11" xr3:uid="{00000000-0010-0000-0300-00000B000000}" name="Lead department" dataDxfId="207"/>
    <tableColumn id="22" xr3:uid="{00000000-0010-0000-0300-000016000000}" name="Spec target / outcomes" dataDxfId="206"/>
    <tableColumn id="21" xr3:uid="{00000000-0010-0000-0300-000015000000}" name="Obligations" dataDxfId="205"/>
    <tableColumn id="5" xr3:uid="{00000000-0010-0000-0300-000005000000}" name="Energy demand focus" dataDxfId="204"/>
    <tableColumn id="9" xr3:uid="{00000000-0010-0000-0300-000009000000}" name="Overlap" dataDxfId="203"/>
    <tableColumn id="10" xr3:uid="{00000000-0010-0000-0300-00000A000000}" name="Comments" dataDxfId="202"/>
    <tableColumn id="13" xr3:uid="{00000000-0010-0000-0300-00000D000000}" name="Time" dataDxfId="201"/>
    <tableColumn id="14" xr3:uid="{00000000-0010-0000-0300-00000E000000}" name="Inv" dataDxfId="200">
      <calculatedColumnFormula>COUNTA(#REF!)</calculatedColumnFormula>
    </tableColumn>
    <tableColumn id="15" xr3:uid="{00000000-0010-0000-0300-00000F000000}" name="Dep" dataDxfId="199"/>
    <tableColumn id="25" xr3:uid="{00000000-0010-0000-0300-000019000000}" name="Targ" dataDxfId="198">
      <calculatedColumnFormula>COUNTA(Tab_Transport[[#This Row],[Spec target / outcomes]])</calculatedColumnFormula>
    </tableColumn>
    <tableColumn id="24" xr3:uid="{00000000-0010-0000-0300-000018000000}" name="Obl" dataDxfId="197">
      <calculatedColumnFormula>COUNTA(Tab_Transport[[#This Row],[Obligations]])</calculatedColumnFormula>
    </tableColumn>
    <tableColumn id="16" xr3:uid="{00000000-0010-0000-0300-000010000000}" name="Dem-yes" dataDxfId="196">
      <calculatedColumnFormula>COUNTIF(L92,"=Y")</calculatedColumnFormula>
    </tableColumn>
    <tableColumn id="17" xr3:uid="{00000000-0010-0000-0300-000011000000}" name="Dem-no" dataDxfId="195">
      <calculatedColumnFormula>COUNTIF(L92,"=Vehicle demand")+COUNTIF(L92,"=Efficiency")</calculatedColumnFormula>
    </tableColumn>
    <tableColumn id="28" xr3:uid="{00000000-0010-0000-0300-00001C000000}" name="Dem-category" dataDxfId="194">
      <calculatedColumnFormula>IF(Tab_Transport[[#This Row],[Energy demand focus]]="Y",Tab_Transport[[#This Row],[Category]],0)</calculatedColumnFormula>
    </tableColumn>
    <tableColumn id="26" xr3:uid="{00000000-0010-0000-0300-00001A000000}" name="Dem-inv" dataDxfId="193">
      <calculatedColumnFormula>IF(Tab_Transport[[#This Row],[Energy demand focus]]="Y",Tab_Transport[[#This Row],[Investment]],0)</calculatedColumnFormula>
    </tableColumn>
    <tableColumn id="27" xr3:uid="{00000000-0010-0000-0300-00001B000000}" name="Sup-inv" dataDxfId="192">
      <calculatedColumnFormula>IF(U92=1,Tab_Transport[[#This Row],[Investment]],0)</calculatedColumnFormula>
    </tableColumn>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Tab_Power" displayName="Tab_Power" ref="A149:X176" totalsRowShown="0" headerRowDxfId="191" tableBorderDxfId="190">
  <autoFilter ref="A149:X176" xr:uid="{00000000-0009-0000-0100-00000F000000}"/>
  <tableColumns count="24">
    <tableColumn id="1" xr3:uid="{00000000-0010-0000-0400-000001000000}" name="Page" dataDxfId="189"/>
    <tableColumn id="2" xr3:uid="{00000000-0010-0000-0400-000002000000}" name="Number" dataDxfId="188"/>
    <tableColumn id="12" xr3:uid="{00000000-0010-0000-0400-00000C000000}" name="Area" dataDxfId="187"/>
    <tableColumn id="3" xr3:uid="{00000000-0010-0000-0400-000003000000}" name="Policy / proposal" dataDxfId="186"/>
    <tableColumn id="4" xr3:uid="{00000000-0010-0000-0400-000004000000}" name="Type of policy / proposal" dataDxfId="185"/>
    <tableColumn id="21" xr3:uid="{00000000-0010-0000-0400-000015000000}" name="Category" dataDxfId="184"/>
    <tableColumn id="6" xr3:uid="{00000000-0010-0000-0400-000006000000}" name="Timescales" dataDxfId="183"/>
    <tableColumn id="7" xr3:uid="{00000000-0010-0000-0400-000007000000}" name="Investment" dataDxfId="182"/>
    <tableColumn id="11" xr3:uid="{00000000-0010-0000-0400-00000B000000}" name="Lead department" dataDxfId="181"/>
    <tableColumn id="23" xr3:uid="{00000000-0010-0000-0400-000017000000}" name="Spec targets / outcomes" dataDxfId="180"/>
    <tableColumn id="22" xr3:uid="{00000000-0010-0000-0400-000016000000}" name="Obligations" dataDxfId="179"/>
    <tableColumn id="5" xr3:uid="{00000000-0010-0000-0400-000005000000}" name="Energy demand focus" dataDxfId="178"/>
    <tableColumn id="9" xr3:uid="{00000000-0010-0000-0400-000009000000}" name="Overlap" dataDxfId="177"/>
    <tableColumn id="10" xr3:uid="{00000000-0010-0000-0400-00000A000000}" name="Comments" dataDxfId="176"/>
    <tableColumn id="13" xr3:uid="{00000000-0010-0000-0400-00000D000000}" name="Time" dataDxfId="175"/>
    <tableColumn id="14" xr3:uid="{00000000-0010-0000-0400-00000E000000}" name="Inv" dataDxfId="174">
      <calculatedColumnFormula>COUNTA(H150)</calculatedColumnFormula>
    </tableColumn>
    <tableColumn id="15" xr3:uid="{00000000-0010-0000-0400-00000F000000}" name="Dep" dataDxfId="173">
      <calculatedColumnFormula>COUNTA(I150)</calculatedColumnFormula>
    </tableColumn>
    <tableColumn id="25" xr3:uid="{00000000-0010-0000-0400-000019000000}" name="Targ" dataDxfId="172">
      <calculatedColumnFormula>COUNTA(Tab_Power[[#This Row],[Spec targets / outcomes]])</calculatedColumnFormula>
    </tableColumn>
    <tableColumn id="24" xr3:uid="{00000000-0010-0000-0400-000018000000}" name="Obl" dataDxfId="171">
      <calculatedColumnFormula>COUNTA(Tab_Power[[#This Row],[Obligations]])</calculatedColumnFormula>
    </tableColumn>
    <tableColumn id="16" xr3:uid="{00000000-0010-0000-0400-000010000000}" name="Dem-yes" dataDxfId="170">
      <calculatedColumnFormula>COUNTIF(L150,"=Y")</calculatedColumnFormula>
    </tableColumn>
    <tableColumn id="17" xr3:uid="{00000000-0010-0000-0400-000011000000}" name="Dem-no" dataDxfId="169">
      <calculatedColumnFormula>COUNTIF(L150,"=N")</calculatedColumnFormula>
    </tableColumn>
    <tableColumn id="28" xr3:uid="{00000000-0010-0000-0400-00001C000000}" name="Dem-category" dataDxfId="168">
      <calculatedColumnFormula>IF(Tab_Power[[#This Row],[Energy demand focus]]="Y",Tab_Power[[#This Row],[Category]],0)</calculatedColumnFormula>
    </tableColumn>
    <tableColumn id="26" xr3:uid="{00000000-0010-0000-0400-00001A000000}" name="Dem-inv" dataDxfId="167">
      <calculatedColumnFormula>IF(Tab_Power[[#This Row],[Energy demand focus]]="Y",Tab_Power[[#This Row],[Investment]],0)</calculatedColumnFormula>
    </tableColumn>
    <tableColumn id="27" xr3:uid="{00000000-0010-0000-0400-00001B000000}" name="Sup-inv" dataDxfId="166">
      <calculatedColumnFormula>IF(Tab_Power[[#This Row],[Energy demand focus]]="N",Tab_Power[[#This Row],[Investment]],0)</calculatedColumnFormula>
    </tableColumn>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Tab_NatRes" displayName="Tab_NatRes" ref="A183:X229" totalsRowShown="0" headerRowDxfId="165" tableBorderDxfId="164">
  <autoFilter ref="A183:X229" xr:uid="{00000000-0009-0000-0100-000013000000}"/>
  <tableColumns count="24">
    <tableColumn id="1" xr3:uid="{00000000-0010-0000-0500-000001000000}" name="Page" dataDxfId="163"/>
    <tableColumn id="2" xr3:uid="{00000000-0010-0000-0500-000002000000}" name="Number" dataDxfId="162"/>
    <tableColumn id="12" xr3:uid="{00000000-0010-0000-0500-00000C000000}" name="Area" dataDxfId="161"/>
    <tableColumn id="3" xr3:uid="{00000000-0010-0000-0500-000003000000}" name="Policy / proposal" dataDxfId="160"/>
    <tableColumn id="4" xr3:uid="{00000000-0010-0000-0500-000004000000}" name="Type of policy / proposal" dataDxfId="159"/>
    <tableColumn id="21" xr3:uid="{00000000-0010-0000-0500-000015000000}" name="Category" dataDxfId="158"/>
    <tableColumn id="6" xr3:uid="{00000000-0010-0000-0500-000006000000}" name="Timescales" dataDxfId="157"/>
    <tableColumn id="7" xr3:uid="{00000000-0010-0000-0500-000007000000}" name="Investment" dataDxfId="156"/>
    <tableColumn id="11" xr3:uid="{00000000-0010-0000-0500-00000B000000}" name="Lead department" dataDxfId="155"/>
    <tableColumn id="23" xr3:uid="{00000000-0010-0000-0500-000017000000}" name="Spec targets / outcomes" dataDxfId="154"/>
    <tableColumn id="22" xr3:uid="{00000000-0010-0000-0500-000016000000}" name="Obligations" dataDxfId="153"/>
    <tableColumn id="5" xr3:uid="{00000000-0010-0000-0500-000005000000}" name="Energy demand focus" dataDxfId="152"/>
    <tableColumn id="9" xr3:uid="{00000000-0010-0000-0500-000009000000}" name="Overlap" dataDxfId="151"/>
    <tableColumn id="10" xr3:uid="{00000000-0010-0000-0500-00000A000000}" name="Comments" dataDxfId="150"/>
    <tableColumn id="13" xr3:uid="{00000000-0010-0000-0500-00000D000000}" name="Time" dataDxfId="149"/>
    <tableColumn id="14" xr3:uid="{00000000-0010-0000-0500-00000E000000}" name="Inv" dataDxfId="148">
      <calculatedColumnFormula>COUNTA(Tab_NatRes[[#This Row],[Investment]])</calculatedColumnFormula>
    </tableColumn>
    <tableColumn id="15" xr3:uid="{00000000-0010-0000-0500-00000F000000}" name="Dep" dataDxfId="147">
      <calculatedColumnFormula>COUNTA(Tab_NatRes[[#This Row],[Lead department]])</calculatedColumnFormula>
    </tableColumn>
    <tableColumn id="25" xr3:uid="{00000000-0010-0000-0500-000019000000}" name="Targ" dataDxfId="146">
      <calculatedColumnFormula>COUNTA(Tab_NatRes[[#This Row],[Spec targets / outcomes]])</calculatedColumnFormula>
    </tableColumn>
    <tableColumn id="24" xr3:uid="{00000000-0010-0000-0500-000018000000}" name="Obl" dataDxfId="145">
      <calculatedColumnFormula>COUNTA(Tab_NatRes[[#This Row],[Obligations]])</calculatedColumnFormula>
    </tableColumn>
    <tableColumn id="16" xr3:uid="{00000000-0010-0000-0500-000010000000}" name="Dem-yes" dataDxfId="144">
      <calculatedColumnFormula>COUNTIF(L184,"=Y")</calculatedColumnFormula>
    </tableColumn>
    <tableColumn id="17" xr3:uid="{00000000-0010-0000-0500-000011000000}" name="Dem-no" dataDxfId="143">
      <calculatedColumnFormula>COUNTIF(L184,"=N")</calculatedColumnFormula>
    </tableColumn>
    <tableColumn id="28" xr3:uid="{00000000-0010-0000-0500-00001C000000}" name="Dem-category" dataDxfId="142">
      <calculatedColumnFormula>IF(Tab_NatRes[[#This Row],[Energy demand focus]]="Y",Tab_NatRes[[#This Row],[Category]],0)</calculatedColumnFormula>
    </tableColumn>
    <tableColumn id="26" xr3:uid="{00000000-0010-0000-0500-00001A000000}" name="Dem-inv" dataDxfId="141">
      <calculatedColumnFormula>IF(Tab_NatRes[[#This Row],[Energy demand focus]]="Y",Tab_NatRes[[#This Row],[Investment]],0)</calculatedColumnFormula>
    </tableColumn>
    <tableColumn id="27" xr3:uid="{00000000-0010-0000-0500-00001B000000}" name="Sup-inv" dataDxfId="140">
      <calculatedColumnFormula>IF(Tab_NatRes[[#This Row],[Energy demand focus]]="N",Tab_NatRes[[#This Row],[Investment]],0)</calculatedColumnFormula>
    </tableColumn>
  </tableColumns>
  <tableStyleInfo name="TableStyleMedium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6000000}" name="Tab_PubSec" displayName="Tab_PubSec" ref="A237:X251" totalsRowShown="0" headerRowDxfId="139" tableBorderDxfId="138">
  <autoFilter ref="A237:X251" xr:uid="{00000000-0009-0000-0100-000018000000}"/>
  <tableColumns count="24">
    <tableColumn id="1" xr3:uid="{00000000-0010-0000-0600-000001000000}" name="Page" dataDxfId="137"/>
    <tableColumn id="2" xr3:uid="{00000000-0010-0000-0600-000002000000}" name="#" dataDxfId="136"/>
    <tableColumn id="12" xr3:uid="{00000000-0010-0000-0600-00000C000000}" name="Area" dataDxfId="135"/>
    <tableColumn id="3" xr3:uid="{00000000-0010-0000-0600-000003000000}" name="Policy / proposal" dataDxfId="134"/>
    <tableColumn id="4" xr3:uid="{00000000-0010-0000-0600-000004000000}" name="Type of policy / proposal" dataDxfId="133"/>
    <tableColumn id="21" xr3:uid="{00000000-0010-0000-0600-000015000000}" name="Category" dataDxfId="132"/>
    <tableColumn id="6" xr3:uid="{00000000-0010-0000-0600-000006000000}" name="Timescales" dataDxfId="131"/>
    <tableColumn id="7" xr3:uid="{00000000-0010-0000-0600-000007000000}" name="Investment" dataDxfId="130"/>
    <tableColumn id="11" xr3:uid="{00000000-0010-0000-0600-00000B000000}" name="Lead department" dataDxfId="129"/>
    <tableColumn id="22" xr3:uid="{00000000-0010-0000-0600-000016000000}" name="Spec target / outcomes" dataDxfId="128"/>
    <tableColumn id="23" xr3:uid="{00000000-0010-0000-0600-000017000000}" name="Obligations" dataDxfId="127"/>
    <tableColumn id="5" xr3:uid="{00000000-0010-0000-0600-000005000000}" name="Energy demand focus" dataDxfId="126"/>
    <tableColumn id="9" xr3:uid="{00000000-0010-0000-0600-000009000000}" name="Overlap" dataDxfId="125"/>
    <tableColumn id="10" xr3:uid="{00000000-0010-0000-0600-00000A000000}" name="Comments" dataDxfId="124"/>
    <tableColumn id="13" xr3:uid="{00000000-0010-0000-0600-00000D000000}" name="Time" dataDxfId="123"/>
    <tableColumn id="14" xr3:uid="{00000000-0010-0000-0600-00000E000000}" name="Inv" dataDxfId="122">
      <calculatedColumnFormula>COUNTA(H238)</calculatedColumnFormula>
    </tableColumn>
    <tableColumn id="15" xr3:uid="{00000000-0010-0000-0600-00000F000000}" name="Dep" dataDxfId="121">
      <calculatedColumnFormula>COUNTA(I238)</calculatedColumnFormula>
    </tableColumn>
    <tableColumn id="25" xr3:uid="{00000000-0010-0000-0600-000019000000}" name="Targ" dataDxfId="120">
      <calculatedColumnFormula>COUNTA(J238)</calculatedColumnFormula>
    </tableColumn>
    <tableColumn id="24" xr3:uid="{00000000-0010-0000-0600-000018000000}" name="Obl" dataDxfId="119">
      <calculatedColumnFormula>COUNTA(K238)</calculatedColumnFormula>
    </tableColumn>
    <tableColumn id="16" xr3:uid="{00000000-0010-0000-0600-000010000000}" name="Dem-yes" dataDxfId="118">
      <calculatedColumnFormula>COUNTIF(L238,"=Y")</calculatedColumnFormula>
    </tableColumn>
    <tableColumn id="17" xr3:uid="{00000000-0010-0000-0600-000011000000}" name="Dem-no" dataDxfId="117">
      <calculatedColumnFormula>COUNTIF(L238,"=N")</calculatedColumnFormula>
    </tableColumn>
    <tableColumn id="28" xr3:uid="{00000000-0010-0000-0600-00001C000000}" name="Dem-category" dataDxfId="116">
      <calculatedColumnFormula>IF(Tab_PubSec[[#This Row],[Energy demand focus]]="Y",Tab_PubSec[[#This Row],[Category]],0)</calculatedColumnFormula>
    </tableColumn>
    <tableColumn id="26" xr3:uid="{00000000-0010-0000-0600-00001A000000}" name="Dem-inv" dataDxfId="115">
      <calculatedColumnFormula>IF(Tab_PubSec[[#This Row],[Energy demand focus]]="Y",Tab_PubSec[[#This Row],[Investment]],0)</calculatedColumnFormula>
    </tableColumn>
    <tableColumn id="27" xr3:uid="{00000000-0010-0000-0600-00001B000000}" name="Sup-inv" dataDxfId="114">
      <calculatedColumnFormula>IF(Tab_PubSec[[#This Row],[Energy demand focus]]="N",Tab_PubSec[[#This Row],[Investment]],0)</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7000000}" name="Table26" displayName="Table26" ref="A5:AQ11" totalsRowShown="0" headerRowDxfId="113" headerRowBorderDxfId="112">
  <autoFilter ref="A5:AQ11" xr:uid="{00000000-0009-0000-0100-00001A000000}"/>
  <tableColumns count="43">
    <tableColumn id="1" xr3:uid="{00000000-0010-0000-0700-000001000000}" name="Sector"/>
    <tableColumn id="16" xr3:uid="{00000000-0010-0000-0700-000010000000}" name="% of UK emissions"/>
    <tableColumn id="25" xr3:uid="{00000000-0010-0000-0700-000019000000}" name="Government investment" dataDxfId="111" totalsRowDxfId="110"/>
    <tableColumn id="2" xr3:uid="{00000000-0010-0000-0700-000002000000}" name="2032 emission reduction" dataDxfId="109" totalsRowDxfId="108"/>
    <tableColumn id="26" xr3:uid="{00000000-0010-0000-0700-00001A000000}" name="2032 target" dataDxfId="107" totalsRowDxfId="106"/>
    <tableColumn id="5" xr3:uid="{00000000-0010-0000-0700-000005000000}" name="In Chapter 4" dataDxfId="105" totalsRowDxfId="104"/>
    <tableColumn id="6" xr3:uid="{00000000-0010-0000-0700-000006000000}" name="In Executive Summary" dataDxfId="103" totalsRowDxfId="102"/>
    <tableColumn id="14" xr3:uid="{00000000-0010-0000-0700-00000E000000}" name="In Annex B" dataDxfId="101" totalsRowDxfId="100"/>
    <tableColumn id="7" xr3:uid="{00000000-0010-0000-0700-000007000000}" name="Database breakdown" dataDxfId="99" totalsRowDxfId="98">
      <calculatedColumnFormula>COUNTIF(Tab_Industry[Page], "&gt;0")</calculatedColumnFormula>
    </tableColumn>
    <tableColumn id="8" xr3:uid="{00000000-0010-0000-0700-000008000000}" name="Timescales" dataDxfId="97" totalsRowDxfId="96">
      <calculatedColumnFormula>SUM(Tab_Industry[Time])</calculatedColumnFormula>
    </tableColumn>
    <tableColumn id="9" xr3:uid="{00000000-0010-0000-0700-000009000000}" name="Funding" dataDxfId="95" totalsRowDxfId="94"/>
    <tableColumn id="10" xr3:uid="{00000000-0010-0000-0700-00000A000000}" name="Department" dataDxfId="93" totalsRowDxfId="92"/>
    <tableColumn id="4" xr3:uid="{00000000-0010-0000-0700-000004000000}" name="Specific targets" dataDxfId="91" totalsRowDxfId="90"/>
    <tableColumn id="3" xr3:uid="{00000000-0010-0000-0700-000003000000}" name="Obligations" dataDxfId="89" totalsRowDxfId="88"/>
    <tableColumn id="11" xr3:uid="{00000000-0010-0000-0700-00000B000000}" name="Demand focus" dataDxfId="87" totalsRowDxfId="86"/>
    <tableColumn id="12" xr3:uid="{00000000-0010-0000-0700-00000C000000}" name="Supply focus" dataDxfId="85" totalsRowDxfId="84"/>
    <tableColumn id="13" xr3:uid="{00000000-0010-0000-0700-00000D000000}" name="Maybe/unsure" dataDxfId="83" totalsRowDxfId="82">
      <calculatedColumnFormula>I6-(O6+P6)</calculatedColumnFormula>
    </tableColumn>
    <tableColumn id="32" xr3:uid="{00000000-0010-0000-0700-000020000000}" name="Investment" dataDxfId="81" totalsRowDxfId="80"/>
    <tableColumn id="31" xr3:uid="{00000000-0010-0000-0700-00001F000000}" name="Information" dataDxfId="79" totalsRowDxfId="78"/>
    <tableColumn id="30" xr3:uid="{00000000-0010-0000-0700-00001E000000}" name="Partnership" dataDxfId="77" totalsRowDxfId="76"/>
    <tableColumn id="29" xr3:uid="{00000000-0010-0000-0700-00001D000000}" name="Regulatory" dataDxfId="75" totalsRowDxfId="74"/>
    <tableColumn id="34" xr3:uid="{00000000-0010-0000-0700-000022000000}" name="Voluntary" dataDxfId="73" totalsRowDxfId="72"/>
    <tableColumn id="28" xr3:uid="{00000000-0010-0000-0700-00001C000000}" name="Market" dataDxfId="71" totalsRowDxfId="70"/>
    <tableColumn id="27" xr3:uid="{00000000-0010-0000-0700-00001B000000}" name="Fiscal" dataDxfId="69" totalsRowDxfId="68"/>
    <tableColumn id="36" xr3:uid="{00000000-0010-0000-0700-000024000000}" name="?" dataDxfId="67" totalsRowDxfId="66"/>
    <tableColumn id="33" xr3:uid="{00000000-0010-0000-0700-000021000000}" name="Various / other" dataDxfId="65" totalsRowDxfId="64"/>
    <tableColumn id="45" xr3:uid="{00000000-0010-0000-0700-00002D000000}" name="Dem-Investment" dataDxfId="63" totalsRowDxfId="62"/>
    <tableColumn id="44" xr3:uid="{00000000-0010-0000-0700-00002C000000}" name="Dem-Information" dataDxfId="61" totalsRowDxfId="60"/>
    <tableColumn id="43" xr3:uid="{00000000-0010-0000-0700-00002B000000}" name="Dem-Partner" dataDxfId="59" totalsRowDxfId="58"/>
    <tableColumn id="42" xr3:uid="{00000000-0010-0000-0700-00002A000000}" name="Dem-Regulatory" dataDxfId="57" totalsRowDxfId="56"/>
    <tableColumn id="41" xr3:uid="{00000000-0010-0000-0700-000029000000}" name="Dem-Voluntary" dataDxfId="55" totalsRowDxfId="54"/>
    <tableColumn id="40" xr3:uid="{00000000-0010-0000-0700-000028000000}" name="Dem-Market" dataDxfId="53" totalsRowDxfId="52"/>
    <tableColumn id="39" xr3:uid="{00000000-0010-0000-0700-000027000000}" name="Dem-Fiscal" dataDxfId="51" totalsRowDxfId="50"/>
    <tableColumn id="38" xr3:uid="{00000000-0010-0000-0700-000026000000}" name="Dem-?" dataDxfId="49" totalsRowDxfId="48"/>
    <tableColumn id="37" xr3:uid="{00000000-0010-0000-0700-000025000000}" name="Dem-Various/other" dataDxfId="47" totalsRowDxfId="46"/>
    <tableColumn id="18" xr3:uid="{00000000-0010-0000-0700-000012000000}" name="SME " dataDxfId="45" totalsRowDxfId="44"/>
    <tableColumn id="19" xr3:uid="{00000000-0010-0000-0700-000013000000}" name="LEP" dataDxfId="43" totalsRowDxfId="42"/>
    <tableColumn id="20" xr3:uid="{00000000-0010-0000-0700-000014000000}" name="local" dataDxfId="41" totalsRowDxfId="40"/>
    <tableColumn id="21" xr3:uid="{00000000-0010-0000-0700-000015000000}" name="region*" dataDxfId="39" totalsRowDxfId="38"/>
    <tableColumn id="22" xr3:uid="{00000000-0010-0000-0700-000016000000}" name="disrupt*" dataDxfId="37" totalsRowDxfId="36"/>
    <tableColumn id="23" xr3:uid="{00000000-0010-0000-0700-000017000000}" name="voluntary2" dataDxfId="35" totalsRowDxfId="34"/>
    <tableColumn id="24" xr3:uid="{00000000-0010-0000-0700-000018000000}" name="mandatory" dataDxfId="33" totalsRowDxfId="32"/>
    <tableColumn id="15" xr3:uid="{00000000-0010-0000-0700-00000F000000}" name="sustainab*" dataDxfId="31" totalsRowDxfId="30"/>
  </tableColumns>
  <tableStyleInfo name="TableStyleMedium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75:D81" totalsRowShown="0" headerRowDxfId="29">
  <autoFilter ref="A75:D81" xr:uid="{00000000-0009-0000-0100-000003000000}"/>
  <tableColumns count="4">
    <tableColumn id="1" xr3:uid="{00000000-0010-0000-0800-000001000000}" name="Sector"/>
    <tableColumn id="2" xr3:uid="{00000000-0010-0000-0800-000002000000}" name="# of policies" dataDxfId="28">
      <calculatedColumnFormula>I6</calculatedColumnFormula>
    </tableColumn>
    <tableColumn id="3" xr3:uid="{00000000-0010-0000-0800-000003000000}" name="# demand focus" dataDxfId="27">
      <calculatedColumnFormula>O6</calculatedColumnFormula>
    </tableColumn>
    <tableColumn id="4" xr3:uid="{00000000-0010-0000-0800-000004000000}" name="%" dataDxfId="26">
      <calculatedColumnFormula>C76/B76</calculatedColumnFormula>
    </tableColumn>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table" Target="../tables/table10.xml"/><Relationship Id="rId4" Type="http://schemas.openxmlformats.org/officeDocument/2006/relationships/table" Target="../tables/table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60"/>
  <sheetViews>
    <sheetView tabSelected="1" zoomScale="85" zoomScaleNormal="85" workbookViewId="0">
      <selection activeCell="M2" sqref="M2"/>
    </sheetView>
  </sheetViews>
  <sheetFormatPr defaultRowHeight="15" x14ac:dyDescent="0.25"/>
  <cols>
    <col min="1" max="1" width="2.140625" customWidth="1"/>
    <col min="2" max="2" width="30.42578125" style="42" customWidth="1"/>
    <col min="3" max="3" width="71.7109375" style="42" customWidth="1"/>
    <col min="4" max="4" width="12.5703125" customWidth="1"/>
    <col min="5" max="5" width="2.28515625" customWidth="1"/>
    <col min="6" max="16" width="9.140625" style="20"/>
  </cols>
  <sheetData>
    <row r="1" spans="1:16" x14ac:dyDescent="0.25">
      <c r="A1" s="250"/>
      <c r="B1" s="304"/>
      <c r="C1" s="250"/>
      <c r="D1" s="250"/>
      <c r="E1" s="250"/>
    </row>
    <row r="2" spans="1:16" ht="23.25" x14ac:dyDescent="0.35">
      <c r="A2" s="250"/>
      <c r="B2" s="285" t="s">
        <v>879</v>
      </c>
      <c r="C2" s="287"/>
      <c r="D2" s="287"/>
      <c r="E2" s="250"/>
    </row>
    <row r="3" spans="1:16" ht="21" x14ac:dyDescent="0.25">
      <c r="A3" s="250"/>
      <c r="B3" s="303" t="s">
        <v>880</v>
      </c>
      <c r="C3" s="290"/>
      <c r="D3" s="290"/>
      <c r="E3" s="250"/>
    </row>
    <row r="4" spans="1:16" ht="23.25" x14ac:dyDescent="0.35">
      <c r="A4" s="250"/>
      <c r="B4" s="285"/>
      <c r="C4" s="287"/>
      <c r="D4" s="287"/>
      <c r="E4" s="250"/>
    </row>
    <row r="5" spans="1:16" ht="15.75" x14ac:dyDescent="0.25">
      <c r="A5" s="250"/>
      <c r="B5" s="286" t="s">
        <v>816</v>
      </c>
      <c r="C5" s="290"/>
      <c r="D5" s="290"/>
      <c r="E5" s="250"/>
    </row>
    <row r="6" spans="1:16" ht="30" customHeight="1" x14ac:dyDescent="0.25">
      <c r="A6" s="250"/>
      <c r="B6" s="310" t="s">
        <v>876</v>
      </c>
      <c r="C6" s="310"/>
      <c r="D6" s="310"/>
      <c r="E6" s="250"/>
    </row>
    <row r="7" spans="1:16" x14ac:dyDescent="0.25">
      <c r="A7" s="250"/>
      <c r="B7" s="289"/>
      <c r="C7" s="290"/>
      <c r="D7" s="290"/>
      <c r="E7" s="250"/>
    </row>
    <row r="8" spans="1:16" ht="30" customHeight="1" x14ac:dyDescent="0.25">
      <c r="A8" s="250"/>
      <c r="B8" s="311" t="s">
        <v>877</v>
      </c>
      <c r="C8" s="311"/>
      <c r="D8" s="311"/>
      <c r="E8" s="250"/>
    </row>
    <row r="9" spans="1:16" ht="30" customHeight="1" x14ac:dyDescent="0.25">
      <c r="A9" s="250"/>
      <c r="B9" s="289"/>
      <c r="C9" s="290"/>
      <c r="D9" s="290"/>
      <c r="E9" s="250"/>
    </row>
    <row r="10" spans="1:16" ht="15.75" x14ac:dyDescent="0.25">
      <c r="A10" s="250"/>
      <c r="B10" s="286" t="s">
        <v>824</v>
      </c>
      <c r="C10" s="287"/>
      <c r="D10" s="287"/>
      <c r="E10" s="250"/>
    </row>
    <row r="11" spans="1:16" x14ac:dyDescent="0.25">
      <c r="A11" s="250"/>
      <c r="B11" s="288" t="s">
        <v>867</v>
      </c>
      <c r="C11" s="288" t="s">
        <v>868</v>
      </c>
      <c r="D11" s="287"/>
      <c r="E11" s="250"/>
    </row>
    <row r="12" spans="1:16" x14ac:dyDescent="0.25">
      <c r="A12" s="250"/>
      <c r="B12" s="293" t="s">
        <v>816</v>
      </c>
      <c r="C12" s="284" t="s">
        <v>869</v>
      </c>
      <c r="D12" s="287"/>
      <c r="E12" s="250"/>
    </row>
    <row r="13" spans="1:16" ht="30" x14ac:dyDescent="0.25">
      <c r="A13" s="250"/>
      <c r="B13" s="296" t="s">
        <v>814</v>
      </c>
      <c r="C13" s="292" t="s">
        <v>870</v>
      </c>
      <c r="D13" s="287"/>
      <c r="E13" s="250"/>
    </row>
    <row r="14" spans="1:16" s="9" customFormat="1" ht="30" customHeight="1" x14ac:dyDescent="0.25">
      <c r="A14" s="301"/>
      <c r="B14" s="299" t="s">
        <v>815</v>
      </c>
      <c r="C14" s="300" t="s">
        <v>871</v>
      </c>
      <c r="D14" s="289"/>
      <c r="E14" s="301"/>
      <c r="F14" s="302"/>
      <c r="G14" s="302"/>
      <c r="H14" s="302"/>
      <c r="I14" s="302"/>
      <c r="J14" s="302"/>
      <c r="K14" s="302"/>
      <c r="L14" s="302"/>
      <c r="M14" s="302"/>
      <c r="N14" s="302"/>
      <c r="O14" s="302"/>
      <c r="P14" s="302"/>
    </row>
    <row r="15" spans="1:16" x14ac:dyDescent="0.25">
      <c r="A15" s="250"/>
      <c r="B15" s="297" t="s">
        <v>872</v>
      </c>
      <c r="C15" s="298" t="s">
        <v>873</v>
      </c>
      <c r="D15" s="287"/>
      <c r="E15" s="250"/>
    </row>
    <row r="16" spans="1:16" x14ac:dyDescent="0.25">
      <c r="A16" s="250"/>
      <c r="B16" s="294" t="s">
        <v>813</v>
      </c>
      <c r="C16" s="295" t="s">
        <v>874</v>
      </c>
      <c r="D16" s="287"/>
      <c r="E16" s="250"/>
    </row>
    <row r="17" spans="1:5" ht="30" customHeight="1" x14ac:dyDescent="0.25">
      <c r="A17" s="250"/>
      <c r="B17" s="253"/>
      <c r="C17" s="287"/>
      <c r="D17" s="287"/>
      <c r="E17" s="250"/>
    </row>
    <row r="18" spans="1:5" ht="15.75" x14ac:dyDescent="0.25">
      <c r="A18" s="250"/>
      <c r="B18" s="286" t="s">
        <v>881</v>
      </c>
      <c r="C18" s="287"/>
      <c r="D18" s="287"/>
      <c r="E18" s="250"/>
    </row>
    <row r="19" spans="1:5" ht="30" customHeight="1" x14ac:dyDescent="0.25">
      <c r="A19" s="250"/>
      <c r="B19" s="311" t="s">
        <v>878</v>
      </c>
      <c r="C19" s="311"/>
      <c r="D19" s="311"/>
      <c r="E19" s="250"/>
    </row>
    <row r="20" spans="1:5" x14ac:dyDescent="0.25">
      <c r="A20" s="250"/>
      <c r="C20" s="287"/>
      <c r="D20" s="287"/>
      <c r="E20" s="250"/>
    </row>
    <row r="21" spans="1:5" ht="45" customHeight="1" x14ac:dyDescent="0.25">
      <c r="A21" s="250"/>
      <c r="B21" s="311" t="s">
        <v>885</v>
      </c>
      <c r="C21" s="311"/>
      <c r="D21" s="311"/>
      <c r="E21" s="250"/>
    </row>
    <row r="22" spans="1:5" x14ac:dyDescent="0.25">
      <c r="A22" s="250"/>
      <c r="B22" s="287"/>
      <c r="C22" s="287"/>
      <c r="D22" s="287"/>
      <c r="E22" s="250"/>
    </row>
    <row r="23" spans="1:5" ht="30" customHeight="1" x14ac:dyDescent="0.25">
      <c r="A23" s="250"/>
      <c r="B23" s="313" t="s">
        <v>891</v>
      </c>
      <c r="C23" s="313"/>
      <c r="D23" s="313"/>
      <c r="E23" s="250"/>
    </row>
    <row r="24" spans="1:5" x14ac:dyDescent="0.25">
      <c r="A24" s="250"/>
      <c r="B24" s="252" t="s">
        <v>817</v>
      </c>
      <c r="C24" s="287"/>
      <c r="D24" s="287"/>
      <c r="E24" s="250"/>
    </row>
    <row r="25" spans="1:5" x14ac:dyDescent="0.25">
      <c r="A25" s="250"/>
      <c r="B25" s="252" t="s">
        <v>886</v>
      </c>
      <c r="C25" s="291"/>
      <c r="D25" s="291"/>
      <c r="E25" s="250"/>
    </row>
    <row r="26" spans="1:5" x14ac:dyDescent="0.25">
      <c r="A26" s="250"/>
      <c r="B26" s="252" t="s">
        <v>808</v>
      </c>
      <c r="C26" s="287"/>
      <c r="D26" s="287"/>
      <c r="E26" s="250"/>
    </row>
    <row r="27" spans="1:5" x14ac:dyDescent="0.25">
      <c r="A27" s="250"/>
      <c r="B27" s="252" t="s">
        <v>887</v>
      </c>
      <c r="C27" s="287"/>
      <c r="D27" s="287"/>
      <c r="E27" s="250"/>
    </row>
    <row r="28" spans="1:5" x14ac:dyDescent="0.25">
      <c r="A28" s="250"/>
      <c r="B28" s="252" t="s">
        <v>888</v>
      </c>
      <c r="C28" s="287"/>
      <c r="D28" s="287"/>
      <c r="E28" s="250"/>
    </row>
    <row r="29" spans="1:5" x14ac:dyDescent="0.25">
      <c r="A29" s="250"/>
      <c r="B29" s="252" t="s">
        <v>809</v>
      </c>
      <c r="C29" s="287"/>
      <c r="D29" s="287"/>
      <c r="E29" s="250"/>
    </row>
    <row r="30" spans="1:5" x14ac:dyDescent="0.25">
      <c r="A30" s="250"/>
      <c r="B30" s="252" t="s">
        <v>810</v>
      </c>
      <c r="C30" s="287"/>
      <c r="D30" s="287"/>
      <c r="E30" s="250"/>
    </row>
    <row r="31" spans="1:5" x14ac:dyDescent="0.25">
      <c r="A31" s="250"/>
      <c r="B31" s="252" t="s">
        <v>889</v>
      </c>
      <c r="C31" s="287"/>
      <c r="D31" s="287"/>
      <c r="E31" s="250"/>
    </row>
    <row r="32" spans="1:5" x14ac:dyDescent="0.25">
      <c r="A32" s="250"/>
      <c r="B32" s="252" t="s">
        <v>890</v>
      </c>
      <c r="C32" s="287"/>
      <c r="D32" s="287"/>
      <c r="E32" s="250"/>
    </row>
    <row r="33" spans="1:5" x14ac:dyDescent="0.25">
      <c r="A33" s="250"/>
      <c r="B33" s="252" t="s">
        <v>892</v>
      </c>
      <c r="C33" s="291"/>
      <c r="D33" s="291"/>
      <c r="E33" s="250"/>
    </row>
    <row r="34" spans="1:5" x14ac:dyDescent="0.25">
      <c r="A34" s="250"/>
      <c r="B34" s="252"/>
      <c r="C34" s="291"/>
      <c r="D34" s="291"/>
      <c r="E34" s="250"/>
    </row>
    <row r="35" spans="1:5" ht="30" customHeight="1" x14ac:dyDescent="0.25">
      <c r="A35" s="250"/>
      <c r="B35" s="314" t="s">
        <v>901</v>
      </c>
      <c r="C35" s="314"/>
      <c r="D35" s="314"/>
      <c r="E35" s="250"/>
    </row>
    <row r="36" spans="1:5" ht="30" customHeight="1" x14ac:dyDescent="0.25">
      <c r="A36" s="250"/>
      <c r="C36" s="287"/>
      <c r="D36" s="287"/>
      <c r="E36" s="250"/>
    </row>
    <row r="37" spans="1:5" ht="15.75" x14ac:dyDescent="0.25">
      <c r="A37" s="250"/>
      <c r="B37" s="286" t="s">
        <v>882</v>
      </c>
      <c r="C37" s="287"/>
      <c r="D37" s="287"/>
      <c r="E37" s="250"/>
    </row>
    <row r="38" spans="1:5" ht="30" customHeight="1" x14ac:dyDescent="0.25">
      <c r="A38" s="250"/>
      <c r="B38" s="311" t="s">
        <v>894</v>
      </c>
      <c r="C38" s="311"/>
      <c r="D38" s="311"/>
      <c r="E38" s="250"/>
    </row>
    <row r="39" spans="1:5" x14ac:dyDescent="0.25">
      <c r="A39" s="250"/>
      <c r="B39" s="252" t="s">
        <v>895</v>
      </c>
      <c r="C39" s="287"/>
      <c r="D39" s="287"/>
      <c r="E39" s="250"/>
    </row>
    <row r="40" spans="1:5" x14ac:dyDescent="0.25">
      <c r="A40" s="250"/>
      <c r="B40" s="252" t="s">
        <v>896</v>
      </c>
      <c r="C40" s="287"/>
      <c r="D40" s="287"/>
      <c r="E40" s="250"/>
    </row>
    <row r="41" spans="1:5" x14ac:dyDescent="0.25">
      <c r="A41" s="250"/>
      <c r="B41" s="252" t="s">
        <v>897</v>
      </c>
      <c r="C41" s="291"/>
      <c r="D41" s="291"/>
      <c r="E41" s="250"/>
    </row>
    <row r="42" spans="1:5" x14ac:dyDescent="0.25">
      <c r="A42" s="250"/>
      <c r="B42" s="252" t="s">
        <v>898</v>
      </c>
      <c r="C42" s="291"/>
      <c r="D42" s="291"/>
      <c r="E42" s="250"/>
    </row>
    <row r="43" spans="1:5" x14ac:dyDescent="0.25">
      <c r="A43" s="250"/>
      <c r="B43" s="252" t="s">
        <v>899</v>
      </c>
      <c r="C43" s="291"/>
      <c r="D43" s="291"/>
      <c r="E43" s="250"/>
    </row>
    <row r="44" spans="1:5" x14ac:dyDescent="0.25">
      <c r="A44" s="250"/>
      <c r="B44" s="252" t="s">
        <v>900</v>
      </c>
      <c r="C44" s="291"/>
      <c r="D44" s="291"/>
      <c r="E44" s="250"/>
    </row>
    <row r="45" spans="1:5" ht="30" customHeight="1" x14ac:dyDescent="0.25">
      <c r="A45" s="250"/>
      <c r="B45" s="287"/>
      <c r="C45" s="287"/>
      <c r="D45" s="287"/>
      <c r="E45" s="250"/>
    </row>
    <row r="46" spans="1:5" ht="15.75" x14ac:dyDescent="0.25">
      <c r="A46" s="250"/>
      <c r="B46" s="286" t="s">
        <v>883</v>
      </c>
      <c r="C46" s="287"/>
      <c r="D46" s="287"/>
      <c r="E46" s="250"/>
    </row>
    <row r="47" spans="1:5" x14ac:dyDescent="0.25">
      <c r="A47" s="250"/>
      <c r="B47" s="306" t="s">
        <v>811</v>
      </c>
      <c r="C47" s="306"/>
      <c r="D47" s="306"/>
      <c r="E47" s="250"/>
    </row>
    <row r="48" spans="1:5" ht="30" customHeight="1" x14ac:dyDescent="0.25">
      <c r="A48" s="250"/>
      <c r="B48" s="287"/>
      <c r="C48" s="287"/>
      <c r="D48" s="287"/>
      <c r="E48" s="250"/>
    </row>
    <row r="49" spans="1:5" ht="15.75" x14ac:dyDescent="0.25">
      <c r="A49" s="250"/>
      <c r="B49" s="286" t="s">
        <v>884</v>
      </c>
      <c r="C49" s="287"/>
      <c r="D49" s="287"/>
      <c r="E49" s="250"/>
    </row>
    <row r="50" spans="1:5" x14ac:dyDescent="0.25">
      <c r="A50" s="250"/>
      <c r="B50" s="312" t="s">
        <v>902</v>
      </c>
      <c r="C50" s="312"/>
      <c r="D50" s="312"/>
      <c r="E50" s="250"/>
    </row>
    <row r="51" spans="1:5" x14ac:dyDescent="0.25">
      <c r="A51" s="250"/>
      <c r="B51" s="312" t="s">
        <v>903</v>
      </c>
      <c r="C51" s="312"/>
      <c r="D51" s="312"/>
      <c r="E51" s="250"/>
    </row>
    <row r="52" spans="1:5" ht="30" customHeight="1" x14ac:dyDescent="0.25">
      <c r="A52" s="250"/>
      <c r="B52" s="287"/>
      <c r="C52" s="287"/>
      <c r="D52" s="250"/>
      <c r="E52" s="250"/>
    </row>
    <row r="53" spans="1:5" ht="15.75" x14ac:dyDescent="0.25">
      <c r="A53" s="250"/>
      <c r="B53" s="286" t="s">
        <v>812</v>
      </c>
      <c r="C53" s="287"/>
      <c r="D53" s="250"/>
      <c r="E53" s="250"/>
    </row>
    <row r="54" spans="1:5" ht="15" customHeight="1" x14ac:dyDescent="0.25">
      <c r="A54" s="250"/>
      <c r="B54" s="311" t="s">
        <v>904</v>
      </c>
      <c r="C54" s="311"/>
      <c r="D54" s="311"/>
      <c r="E54" s="250"/>
    </row>
    <row r="55" spans="1:5" s="20" customFormat="1" x14ac:dyDescent="0.25">
      <c r="A55" s="250"/>
      <c r="B55" s="312" t="s">
        <v>905</v>
      </c>
      <c r="C55" s="312"/>
      <c r="D55" s="312"/>
      <c r="E55" s="250"/>
    </row>
    <row r="56" spans="1:5" s="20" customFormat="1" x14ac:dyDescent="0.25">
      <c r="A56" s="250"/>
      <c r="B56" s="304"/>
      <c r="C56" s="304"/>
      <c r="D56" s="250"/>
      <c r="E56" s="250"/>
    </row>
    <row r="57" spans="1:5" s="20" customFormat="1" x14ac:dyDescent="0.25">
      <c r="B57" s="56"/>
      <c r="C57" s="56"/>
    </row>
    <row r="58" spans="1:5" s="20" customFormat="1" x14ac:dyDescent="0.25">
      <c r="B58" s="56"/>
      <c r="C58" s="56"/>
    </row>
    <row r="59" spans="1:5" s="20" customFormat="1" x14ac:dyDescent="0.25">
      <c r="B59" s="56"/>
      <c r="C59" s="56"/>
    </row>
    <row r="60" spans="1:5" s="20" customFormat="1" x14ac:dyDescent="0.25">
      <c r="B60" s="56"/>
      <c r="C60" s="56"/>
    </row>
  </sheetData>
  <mergeCells count="11">
    <mergeCell ref="B6:D6"/>
    <mergeCell ref="B8:D8"/>
    <mergeCell ref="B54:D54"/>
    <mergeCell ref="B55:D55"/>
    <mergeCell ref="B19:D19"/>
    <mergeCell ref="B21:D21"/>
    <mergeCell ref="B23:D23"/>
    <mergeCell ref="B38:D38"/>
    <mergeCell ref="B50:D50"/>
    <mergeCell ref="B51:D51"/>
    <mergeCell ref="B35:D35"/>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263"/>
  <sheetViews>
    <sheetView topLeftCell="A133" zoomScale="85" zoomScaleNormal="85" workbookViewId="0">
      <selection activeCell="D1" sqref="D1"/>
    </sheetView>
  </sheetViews>
  <sheetFormatPr defaultColWidth="8.85546875" defaultRowHeight="15" x14ac:dyDescent="0.25"/>
  <cols>
    <col min="1" max="2" width="5.7109375" style="12" customWidth="1"/>
    <col min="3" max="3" width="20.42578125" style="42" customWidth="1"/>
    <col min="4" max="4" width="57.28515625" customWidth="1"/>
    <col min="5" max="5" width="17" style="12" customWidth="1"/>
    <col min="6" max="6" width="15.7109375" customWidth="1"/>
    <col min="7" max="7" width="23.140625" customWidth="1"/>
    <col min="8" max="8" width="13.7109375" style="12" customWidth="1"/>
    <col min="9" max="9" width="10.7109375" style="42" customWidth="1"/>
    <col min="10" max="10" width="10.7109375" style="20" customWidth="1"/>
    <col min="11" max="12" width="10.7109375" customWidth="1"/>
    <col min="13" max="13" width="10.7109375" style="22" customWidth="1"/>
    <col min="14" max="14" width="15.7109375" style="22" customWidth="1"/>
    <col min="15" max="15" width="4.7109375" style="22" hidden="1" customWidth="1"/>
    <col min="16" max="19" width="4.7109375" style="3" hidden="1" customWidth="1"/>
    <col min="20" max="21" width="4.7109375" hidden="1" customWidth="1"/>
    <col min="22" max="24" width="10.7109375" hidden="1" customWidth="1"/>
    <col min="25" max="25" width="4.7109375" customWidth="1"/>
    <col min="26" max="27" width="7.7109375" customWidth="1"/>
    <col min="28" max="28" width="8.85546875" customWidth="1"/>
  </cols>
  <sheetData>
    <row r="1" spans="1:25" ht="23.25" x14ac:dyDescent="0.35">
      <c r="A1" s="129" t="s">
        <v>911</v>
      </c>
    </row>
    <row r="2" spans="1:25" ht="18.75" x14ac:dyDescent="0.25">
      <c r="B2" s="53"/>
      <c r="C2" s="56"/>
      <c r="D2" s="20"/>
      <c r="E2" s="53"/>
      <c r="F2" s="20"/>
      <c r="Y2" s="106"/>
    </row>
    <row r="3" spans="1:25" ht="21" x14ac:dyDescent="0.35">
      <c r="A3" s="54" t="s">
        <v>95</v>
      </c>
      <c r="B3" s="57"/>
      <c r="C3" s="56"/>
      <c r="D3" s="20"/>
      <c r="E3" s="53"/>
      <c r="F3" s="20"/>
      <c r="G3" s="20"/>
      <c r="H3" s="53"/>
      <c r="I3" s="56"/>
      <c r="Y3" s="305" t="s">
        <v>893</v>
      </c>
    </row>
    <row r="4" spans="1:25" ht="18.75" x14ac:dyDescent="0.3">
      <c r="A4" s="55" t="s">
        <v>875</v>
      </c>
      <c r="B4" s="60"/>
      <c r="C4" s="56"/>
      <c r="D4" s="20"/>
      <c r="E4" s="53"/>
      <c r="F4" s="20"/>
      <c r="G4" s="20"/>
      <c r="H4" s="53"/>
      <c r="I4" s="56"/>
    </row>
    <row r="5" spans="1:25" ht="18.75" x14ac:dyDescent="0.3">
      <c r="A5" s="57"/>
      <c r="B5" s="57"/>
      <c r="C5" s="57"/>
      <c r="D5" s="117"/>
      <c r="E5" s="53"/>
      <c r="F5" s="20"/>
      <c r="G5" s="20"/>
      <c r="H5" s="53"/>
      <c r="I5" s="56"/>
      <c r="K5" s="20"/>
      <c r="M5" s="103"/>
      <c r="O5" s="316" t="s">
        <v>841</v>
      </c>
      <c r="P5" s="316"/>
      <c r="Q5" s="316"/>
      <c r="R5" s="316"/>
      <c r="S5" s="316"/>
      <c r="T5" s="316"/>
      <c r="U5" s="316"/>
      <c r="V5" s="316"/>
      <c r="W5" s="316"/>
      <c r="X5" s="316"/>
    </row>
    <row r="6" spans="1:25" s="9" customFormat="1" ht="45" x14ac:dyDescent="0.25">
      <c r="A6" s="10" t="s">
        <v>2</v>
      </c>
      <c r="B6" s="10" t="s">
        <v>85</v>
      </c>
      <c r="C6" s="35" t="s">
        <v>681</v>
      </c>
      <c r="D6" s="6" t="s">
        <v>7</v>
      </c>
      <c r="E6" s="6" t="s">
        <v>8</v>
      </c>
      <c r="F6" s="6" t="s">
        <v>713</v>
      </c>
      <c r="G6" s="6" t="s">
        <v>4</v>
      </c>
      <c r="H6" s="6" t="s">
        <v>1</v>
      </c>
      <c r="I6" s="10" t="s">
        <v>558</v>
      </c>
      <c r="J6" s="10" t="s">
        <v>716</v>
      </c>
      <c r="K6" s="10" t="s">
        <v>709</v>
      </c>
      <c r="L6" s="10" t="s">
        <v>66</v>
      </c>
      <c r="M6" s="10" t="s">
        <v>157</v>
      </c>
      <c r="N6" s="35" t="s">
        <v>3</v>
      </c>
      <c r="O6" s="6" t="s">
        <v>704</v>
      </c>
      <c r="P6" s="6" t="s">
        <v>705</v>
      </c>
      <c r="Q6" s="6" t="s">
        <v>706</v>
      </c>
      <c r="R6" s="6" t="s">
        <v>710</v>
      </c>
      <c r="S6" s="6" t="s">
        <v>711</v>
      </c>
      <c r="T6" s="6" t="s">
        <v>707</v>
      </c>
      <c r="U6" s="6" t="s">
        <v>708</v>
      </c>
      <c r="V6" s="6" t="s">
        <v>797</v>
      </c>
      <c r="W6" s="6" t="s">
        <v>860</v>
      </c>
      <c r="X6" s="6" t="s">
        <v>861</v>
      </c>
    </row>
    <row r="7" spans="1:25" s="1" customFormat="1" ht="45" x14ac:dyDescent="0.25">
      <c r="A7" s="14">
        <v>66</v>
      </c>
      <c r="B7" s="14">
        <v>1</v>
      </c>
      <c r="C7" s="36" t="s">
        <v>682</v>
      </c>
      <c r="D7" s="15" t="s">
        <v>96</v>
      </c>
      <c r="E7" s="15" t="s">
        <v>130</v>
      </c>
      <c r="F7" s="15" t="s">
        <v>130</v>
      </c>
      <c r="G7" s="15" t="s">
        <v>108</v>
      </c>
      <c r="H7" s="15"/>
      <c r="I7" s="14" t="s">
        <v>559</v>
      </c>
      <c r="J7" s="14" t="s">
        <v>733</v>
      </c>
      <c r="K7" s="14"/>
      <c r="L7" s="14" t="s">
        <v>84</v>
      </c>
      <c r="M7" s="14"/>
      <c r="N7" s="36" t="s">
        <v>87</v>
      </c>
      <c r="O7" s="131">
        <v>1</v>
      </c>
      <c r="P7" s="131">
        <f>COUNTA(Tab_Industry[[#This Row],[Investment]])</f>
        <v>0</v>
      </c>
      <c r="Q7" s="131">
        <f>COUNTA(Tab_Industry[[#This Row],[Lead department]])</f>
        <v>1</v>
      </c>
      <c r="R7" s="131">
        <f>COUNTA(Tab_Industry[[#This Row],[Spec target / outcome]])</f>
        <v>1</v>
      </c>
      <c r="S7" s="131">
        <f>COUNTA(Tab_Industry[[#This Row],[Obligations]])</f>
        <v>0</v>
      </c>
      <c r="T7" s="131">
        <f t="shared" ref="T7:T35" si="0">COUNTIF(L7,"=Y")</f>
        <v>1</v>
      </c>
      <c r="U7" s="131">
        <f t="shared" ref="U7:U35" si="1">COUNTIF(L7,"=N")</f>
        <v>0</v>
      </c>
      <c r="V7" s="8" t="str">
        <f>IF(Tab_Industry[[#This Row],[Energy demand focus]]="Y",Tab_Industry[[#This Row],[Category]],0)</f>
        <v>Various</v>
      </c>
      <c r="W7" s="8">
        <f>IF(Tab_Industry[[#This Row],[Energy demand focus]]="Y",Tab_Industry[[#This Row],[Investment]],0)</f>
        <v>0</v>
      </c>
      <c r="X7" s="8">
        <f>IF(Tab_Industry[[#This Row],[Energy demand focus]]="N",Tab_Industry[[#This Row],[Investment]],0)</f>
        <v>0</v>
      </c>
    </row>
    <row r="8" spans="1:25" s="1" customFormat="1" ht="45" x14ac:dyDescent="0.25">
      <c r="A8" s="14">
        <v>66</v>
      </c>
      <c r="B8" s="14">
        <v>2</v>
      </c>
      <c r="C8" s="36" t="s">
        <v>682</v>
      </c>
      <c r="D8" s="15" t="s">
        <v>133</v>
      </c>
      <c r="E8" s="15" t="s">
        <v>134</v>
      </c>
      <c r="F8" s="15" t="s">
        <v>1</v>
      </c>
      <c r="G8" s="15" t="s">
        <v>261</v>
      </c>
      <c r="H8" s="15"/>
      <c r="I8" s="14" t="s">
        <v>585</v>
      </c>
      <c r="J8" s="14" t="s">
        <v>718</v>
      </c>
      <c r="K8" s="14"/>
      <c r="L8" s="14" t="s">
        <v>84</v>
      </c>
      <c r="M8" s="14"/>
      <c r="N8" s="36" t="s">
        <v>86</v>
      </c>
      <c r="O8" s="131">
        <v>1</v>
      </c>
      <c r="P8" s="131">
        <f>COUNTA(Tab_Industry[[#This Row],[Investment]])</f>
        <v>0</v>
      </c>
      <c r="Q8" s="131">
        <f>COUNTA(Tab_Industry[[#This Row],[Lead department]])</f>
        <v>1</v>
      </c>
      <c r="R8" s="131">
        <f>COUNTA(Tab_Industry[[#This Row],[Spec target / outcome]])</f>
        <v>1</v>
      </c>
      <c r="S8" s="131">
        <f>COUNTA(Tab_Industry[[#This Row],[Obligations]])</f>
        <v>0</v>
      </c>
      <c r="T8" s="131">
        <f t="shared" si="0"/>
        <v>1</v>
      </c>
      <c r="U8" s="131">
        <f t="shared" si="1"/>
        <v>0</v>
      </c>
      <c r="V8" s="8" t="str">
        <f>IF(Tab_Industry[[#This Row],[Energy demand focus]]="Y",Tab_Industry[[#This Row],[Category]],0)</f>
        <v>Investment</v>
      </c>
      <c r="W8" s="8">
        <f>IF(Tab_Industry[[#This Row],[Energy demand focus]]="Y",Tab_Industry[[#This Row],[Investment]],0)</f>
        <v>0</v>
      </c>
      <c r="X8" s="8">
        <f>IF(Tab_Industry[[#This Row],[Energy demand focus]]="N",Tab_Industry[[#This Row],[Investment]],0)</f>
        <v>0</v>
      </c>
    </row>
    <row r="9" spans="1:25" s="1" customFormat="1" ht="30" x14ac:dyDescent="0.25">
      <c r="A9" s="14">
        <v>66</v>
      </c>
      <c r="B9" s="14" t="s">
        <v>88</v>
      </c>
      <c r="C9" s="109" t="s">
        <v>682</v>
      </c>
      <c r="D9" s="15" t="s">
        <v>353</v>
      </c>
      <c r="E9" s="15" t="s">
        <v>97</v>
      </c>
      <c r="F9" s="15" t="s">
        <v>784</v>
      </c>
      <c r="G9" s="15" t="s">
        <v>89</v>
      </c>
      <c r="H9" s="15"/>
      <c r="I9" s="14" t="s">
        <v>559</v>
      </c>
      <c r="J9" s="14" t="s">
        <v>730</v>
      </c>
      <c r="K9" s="14"/>
      <c r="L9" s="14" t="s">
        <v>84</v>
      </c>
      <c r="M9" s="14">
        <v>7</v>
      </c>
      <c r="N9" s="36"/>
      <c r="O9" s="131">
        <v>1</v>
      </c>
      <c r="P9" s="131">
        <f>COUNTA(Tab_Industry[[#This Row],[Investment]])</f>
        <v>0</v>
      </c>
      <c r="Q9" s="131">
        <f>COUNTA(Tab_Industry[[#This Row],[Lead department]])</f>
        <v>1</v>
      </c>
      <c r="R9" s="131">
        <f>COUNTA(Tab_Industry[[#This Row],[Spec target / outcome]])</f>
        <v>1</v>
      </c>
      <c r="S9" s="131">
        <f>COUNTA(Tab_Industry[[#This Row],[Obligations]])</f>
        <v>0</v>
      </c>
      <c r="T9" s="131">
        <f t="shared" si="0"/>
        <v>1</v>
      </c>
      <c r="U9" s="131">
        <f t="shared" si="1"/>
        <v>0</v>
      </c>
      <c r="V9" s="8" t="str">
        <f>IF(Tab_Industry[[#This Row],[Energy demand focus]]="Y",Tab_Industry[[#This Row],[Category]],0)</f>
        <v>Fiscal</v>
      </c>
      <c r="W9" s="8">
        <f>IF(Tab_Industry[[#This Row],[Energy demand focus]]="Y",Tab_Industry[[#This Row],[Investment]],0)</f>
        <v>0</v>
      </c>
      <c r="X9" s="8">
        <f>IF(Tab_Industry[[#This Row],[Energy demand focus]]="N",Tab_Industry[[#This Row],[Investment]],0)</f>
        <v>0</v>
      </c>
    </row>
    <row r="10" spans="1:25" s="1" customFormat="1" ht="30" x14ac:dyDescent="0.25">
      <c r="A10" s="14">
        <v>66</v>
      </c>
      <c r="B10" s="14" t="s">
        <v>90</v>
      </c>
      <c r="C10" s="109" t="s">
        <v>682</v>
      </c>
      <c r="D10" s="15" t="s">
        <v>354</v>
      </c>
      <c r="E10" s="15" t="s">
        <v>98</v>
      </c>
      <c r="F10" s="15" t="s">
        <v>784</v>
      </c>
      <c r="G10" s="15" t="s">
        <v>91</v>
      </c>
      <c r="H10" s="15"/>
      <c r="I10" s="14"/>
      <c r="J10" s="14" t="s">
        <v>717</v>
      </c>
      <c r="K10" s="14" t="s">
        <v>712</v>
      </c>
      <c r="L10" s="14" t="s">
        <v>84</v>
      </c>
      <c r="M10" s="14"/>
      <c r="N10" s="36"/>
      <c r="O10" s="131">
        <v>1</v>
      </c>
      <c r="P10" s="131">
        <f>COUNTA(Tab_Industry[[#This Row],[Investment]])</f>
        <v>0</v>
      </c>
      <c r="Q10" s="131">
        <f>COUNTA(Tab_Industry[[#This Row],[Lead department]])</f>
        <v>0</v>
      </c>
      <c r="R10" s="131">
        <f>COUNTA(Tab_Industry[[#This Row],[Spec target / outcome]])</f>
        <v>1</v>
      </c>
      <c r="S10" s="131">
        <f>COUNTA(Tab_Industry[[#This Row],[Obligations]])</f>
        <v>1</v>
      </c>
      <c r="T10" s="131">
        <f t="shared" si="0"/>
        <v>1</v>
      </c>
      <c r="U10" s="131">
        <f t="shared" si="1"/>
        <v>0</v>
      </c>
      <c r="V10" s="8" t="str">
        <f>IF(Tab_Industry[[#This Row],[Energy demand focus]]="Y",Tab_Industry[[#This Row],[Category]],0)</f>
        <v>Fiscal</v>
      </c>
      <c r="W10" s="8">
        <f>IF(Tab_Industry[[#This Row],[Energy demand focus]]="Y",Tab_Industry[[#This Row],[Investment]],0)</f>
        <v>0</v>
      </c>
      <c r="X10" s="8">
        <f>IF(Tab_Industry[[#This Row],[Energy demand focus]]="N",Tab_Industry[[#This Row],[Investment]],0)</f>
        <v>0</v>
      </c>
    </row>
    <row r="11" spans="1:25" s="1" customFormat="1" ht="30" x14ac:dyDescent="0.25">
      <c r="A11" s="14">
        <v>66</v>
      </c>
      <c r="B11" s="14">
        <v>4</v>
      </c>
      <c r="C11" s="109" t="s">
        <v>682</v>
      </c>
      <c r="D11" s="15" t="s">
        <v>355</v>
      </c>
      <c r="E11" s="15" t="s">
        <v>19</v>
      </c>
      <c r="F11" s="15" t="s">
        <v>19</v>
      </c>
      <c r="G11" s="15" t="s">
        <v>586</v>
      </c>
      <c r="H11" s="15"/>
      <c r="I11" s="14" t="s">
        <v>559</v>
      </c>
      <c r="J11" s="14"/>
      <c r="K11" s="14"/>
      <c r="L11" s="14" t="s">
        <v>14</v>
      </c>
      <c r="M11" s="14"/>
      <c r="N11" s="36"/>
      <c r="O11" s="131">
        <v>1</v>
      </c>
      <c r="P11" s="131">
        <f>COUNTA(Tab_Industry[[#This Row],[Investment]])</f>
        <v>0</v>
      </c>
      <c r="Q11" s="131">
        <f>COUNTA(Tab_Industry[[#This Row],[Lead department]])</f>
        <v>1</v>
      </c>
      <c r="R11" s="131">
        <f>COUNTA(Tab_Industry[[#This Row],[Spec target / outcome]])</f>
        <v>0</v>
      </c>
      <c r="S11" s="131">
        <f>COUNTA(Tab_Industry[[#This Row],[Obligations]])</f>
        <v>0</v>
      </c>
      <c r="T11" s="131">
        <f t="shared" si="0"/>
        <v>0</v>
      </c>
      <c r="U11" s="131">
        <f t="shared" si="1"/>
        <v>0</v>
      </c>
      <c r="V11" s="8">
        <f>IF(Tab_Industry[[#This Row],[Energy demand focus]]="Y",Tab_Industry[[#This Row],[Category]],0)</f>
        <v>0</v>
      </c>
      <c r="W11" s="8">
        <f>IF(Tab_Industry[[#This Row],[Energy demand focus]]="Y",Tab_Industry[[#This Row],[Investment]],0)</f>
        <v>0</v>
      </c>
      <c r="X11" s="8">
        <f>IF(Tab_Industry[[#This Row],[Energy demand focus]]="N",Tab_Industry[[#This Row],[Investment]],0)</f>
        <v>0</v>
      </c>
    </row>
    <row r="12" spans="1:25" s="1" customFormat="1" ht="30" x14ac:dyDescent="0.25">
      <c r="A12" s="14">
        <v>66</v>
      </c>
      <c r="B12" s="14">
        <v>5</v>
      </c>
      <c r="C12" s="109" t="s">
        <v>682</v>
      </c>
      <c r="D12" s="15" t="s">
        <v>356</v>
      </c>
      <c r="E12" s="15" t="s">
        <v>19</v>
      </c>
      <c r="F12" s="15" t="s">
        <v>19</v>
      </c>
      <c r="G12" s="15"/>
      <c r="H12" s="15"/>
      <c r="I12" s="14"/>
      <c r="J12" s="14"/>
      <c r="K12" s="14"/>
      <c r="L12" s="14" t="s">
        <v>84</v>
      </c>
      <c r="M12" s="14"/>
      <c r="N12" s="36"/>
      <c r="O12" s="131">
        <v>0</v>
      </c>
      <c r="P12" s="131">
        <f>COUNTA(Tab_Industry[[#This Row],[Investment]])</f>
        <v>0</v>
      </c>
      <c r="Q12" s="131">
        <f>COUNTA(Tab_Industry[[#This Row],[Lead department]])</f>
        <v>0</v>
      </c>
      <c r="R12" s="131">
        <f>COUNTA(Tab_Industry[[#This Row],[Spec target / outcome]])</f>
        <v>0</v>
      </c>
      <c r="S12" s="131">
        <f>COUNTA(Tab_Industry[[#This Row],[Obligations]])</f>
        <v>0</v>
      </c>
      <c r="T12" s="131">
        <f t="shared" si="0"/>
        <v>1</v>
      </c>
      <c r="U12" s="131">
        <f t="shared" si="1"/>
        <v>0</v>
      </c>
      <c r="V12" s="8" t="str">
        <f>IF(Tab_Industry[[#This Row],[Energy demand focus]]="Y",Tab_Industry[[#This Row],[Category]],0)</f>
        <v>Information</v>
      </c>
      <c r="W12" s="8">
        <f>IF(Tab_Industry[[#This Row],[Energy demand focus]]="Y",Tab_Industry[[#This Row],[Investment]],0)</f>
        <v>0</v>
      </c>
      <c r="X12" s="8">
        <f>IF(Tab_Industry[[#This Row],[Energy demand focus]]="N",Tab_Industry[[#This Row],[Investment]],0)</f>
        <v>0</v>
      </c>
    </row>
    <row r="13" spans="1:25" s="1" customFormat="1" ht="30" x14ac:dyDescent="0.25">
      <c r="A13" s="14">
        <v>66</v>
      </c>
      <c r="B13" s="14">
        <v>6</v>
      </c>
      <c r="C13" s="109" t="s">
        <v>682</v>
      </c>
      <c r="D13" s="15" t="s">
        <v>105</v>
      </c>
      <c r="E13" s="15" t="s">
        <v>104</v>
      </c>
      <c r="F13" s="15" t="s">
        <v>783</v>
      </c>
      <c r="G13" s="15" t="s">
        <v>135</v>
      </c>
      <c r="H13" s="15"/>
      <c r="I13" s="14"/>
      <c r="J13" s="14"/>
      <c r="K13" s="14"/>
      <c r="L13" s="14" t="s">
        <v>14</v>
      </c>
      <c r="M13" s="14"/>
      <c r="N13" s="36" t="s">
        <v>87</v>
      </c>
      <c r="O13" s="131">
        <v>0</v>
      </c>
      <c r="P13" s="131">
        <f>COUNTA(Tab_Industry[[#This Row],[Investment]])</f>
        <v>0</v>
      </c>
      <c r="Q13" s="131">
        <f>COUNTA(Tab_Industry[[#This Row],[Lead department]])</f>
        <v>0</v>
      </c>
      <c r="R13" s="131">
        <f>COUNTA(Tab_Industry[[#This Row],[Spec target / outcome]])</f>
        <v>0</v>
      </c>
      <c r="S13" s="131">
        <f>COUNTA(Tab_Industry[[#This Row],[Obligations]])</f>
        <v>0</v>
      </c>
      <c r="T13" s="131">
        <f t="shared" si="0"/>
        <v>0</v>
      </c>
      <c r="U13" s="131">
        <f t="shared" si="1"/>
        <v>0</v>
      </c>
      <c r="V13" s="8">
        <f>IF(Tab_Industry[[#This Row],[Energy demand focus]]="Y",Tab_Industry[[#This Row],[Category]],0)</f>
        <v>0</v>
      </c>
      <c r="W13" s="8">
        <f>IF(Tab_Industry[[#This Row],[Energy demand focus]]="Y",Tab_Industry[[#This Row],[Investment]],0)</f>
        <v>0</v>
      </c>
      <c r="X13" s="8">
        <f>IF(Tab_Industry[[#This Row],[Energy demand focus]]="N",Tab_Industry[[#This Row],[Investment]],0)</f>
        <v>0</v>
      </c>
    </row>
    <row r="14" spans="1:25" s="1" customFormat="1" ht="45" x14ac:dyDescent="0.25">
      <c r="A14" s="14">
        <v>66</v>
      </c>
      <c r="B14" s="14">
        <v>7</v>
      </c>
      <c r="C14" s="109" t="s">
        <v>682</v>
      </c>
      <c r="D14" s="15" t="s">
        <v>561</v>
      </c>
      <c r="E14" s="15" t="s">
        <v>93</v>
      </c>
      <c r="F14" s="15" t="s">
        <v>785</v>
      </c>
      <c r="G14" s="15" t="s">
        <v>560</v>
      </c>
      <c r="H14" s="15"/>
      <c r="I14" s="14" t="s">
        <v>559</v>
      </c>
      <c r="J14" s="14" t="s">
        <v>718</v>
      </c>
      <c r="K14" s="14" t="s">
        <v>720</v>
      </c>
      <c r="L14" s="14" t="s">
        <v>14</v>
      </c>
      <c r="M14" s="14" t="s">
        <v>88</v>
      </c>
      <c r="N14" s="36" t="s">
        <v>87</v>
      </c>
      <c r="O14" s="131">
        <v>1</v>
      </c>
      <c r="P14" s="131">
        <f>COUNTA(Tab_Industry[[#This Row],[Investment]])</f>
        <v>0</v>
      </c>
      <c r="Q14" s="131">
        <f>COUNTA(Tab_Industry[[#This Row],[Lead department]])</f>
        <v>1</v>
      </c>
      <c r="R14" s="131">
        <f>COUNTA(Tab_Industry[[#This Row],[Spec target / outcome]])</f>
        <v>1</v>
      </c>
      <c r="S14" s="131">
        <f>COUNTA(Tab_Industry[[#This Row],[Obligations]])</f>
        <v>1</v>
      </c>
      <c r="T14" s="131">
        <f t="shared" si="0"/>
        <v>0</v>
      </c>
      <c r="U14" s="131">
        <f t="shared" si="1"/>
        <v>0</v>
      </c>
      <c r="V14" s="8">
        <f>IF(Tab_Industry[[#This Row],[Energy demand focus]]="Y",Tab_Industry[[#This Row],[Category]],0)</f>
        <v>0</v>
      </c>
      <c r="W14" s="8">
        <f>IF(Tab_Industry[[#This Row],[Energy demand focus]]="Y",Tab_Industry[[#This Row],[Investment]],0)</f>
        <v>0</v>
      </c>
      <c r="X14" s="8">
        <f>IF(Tab_Industry[[#This Row],[Energy demand focus]]="N",Tab_Industry[[#This Row],[Investment]],0)</f>
        <v>0</v>
      </c>
    </row>
    <row r="15" spans="1:25" s="1" customFormat="1" ht="60" x14ac:dyDescent="0.25">
      <c r="A15" s="14">
        <v>66</v>
      </c>
      <c r="B15" s="14">
        <v>8</v>
      </c>
      <c r="C15" s="109" t="s">
        <v>682</v>
      </c>
      <c r="D15" s="15" t="s">
        <v>357</v>
      </c>
      <c r="E15" s="15" t="s">
        <v>99</v>
      </c>
      <c r="F15" s="15" t="s">
        <v>784</v>
      </c>
      <c r="G15" s="15" t="s">
        <v>570</v>
      </c>
      <c r="H15" s="15"/>
      <c r="I15" s="14" t="s">
        <v>559</v>
      </c>
      <c r="J15" s="14" t="s">
        <v>850</v>
      </c>
      <c r="K15" s="14" t="s">
        <v>720</v>
      </c>
      <c r="L15" s="14" t="s">
        <v>84</v>
      </c>
      <c r="M15" s="14"/>
      <c r="N15" s="36" t="s">
        <v>849</v>
      </c>
      <c r="O15" s="131">
        <v>1</v>
      </c>
      <c r="P15" s="131">
        <f>COUNTA(Tab_Industry[[#This Row],[Investment]])</f>
        <v>0</v>
      </c>
      <c r="Q15" s="131">
        <f>COUNTA(Tab_Industry[[#This Row],[Lead department]])</f>
        <v>1</v>
      </c>
      <c r="R15" s="131">
        <f>COUNTA(Tab_Industry[[#This Row],[Spec target / outcome]])</f>
        <v>1</v>
      </c>
      <c r="S15" s="131">
        <f>COUNTA(Tab_Industry[[#This Row],[Obligations]])</f>
        <v>1</v>
      </c>
      <c r="T15" s="131">
        <f t="shared" si="0"/>
        <v>1</v>
      </c>
      <c r="U15" s="131">
        <f t="shared" si="1"/>
        <v>0</v>
      </c>
      <c r="V15" s="8" t="str">
        <f>IF(Tab_Industry[[#This Row],[Energy demand focus]]="Y",Tab_Industry[[#This Row],[Category]],0)</f>
        <v>Fiscal</v>
      </c>
      <c r="W15" s="8">
        <f>IF(Tab_Industry[[#This Row],[Energy demand focus]]="Y",Tab_Industry[[#This Row],[Investment]],0)</f>
        <v>0</v>
      </c>
      <c r="X15" s="8">
        <f>IF(Tab_Industry[[#This Row],[Energy demand focus]]="N",Tab_Industry[[#This Row],[Investment]],0)</f>
        <v>0</v>
      </c>
    </row>
    <row r="16" spans="1:25" s="1" customFormat="1" ht="45" x14ac:dyDescent="0.25">
      <c r="A16" s="14">
        <v>66</v>
      </c>
      <c r="B16" s="14">
        <v>9</v>
      </c>
      <c r="C16" s="109" t="s">
        <v>682</v>
      </c>
      <c r="D16" s="15" t="s">
        <v>563</v>
      </c>
      <c r="E16" s="15" t="s">
        <v>122</v>
      </c>
      <c r="F16" s="15" t="s">
        <v>1</v>
      </c>
      <c r="G16" s="15" t="s">
        <v>562</v>
      </c>
      <c r="H16" s="15" t="s">
        <v>94</v>
      </c>
      <c r="I16" s="14" t="s">
        <v>559</v>
      </c>
      <c r="J16" s="14"/>
      <c r="K16" s="14" t="s">
        <v>720</v>
      </c>
      <c r="L16" s="14" t="s">
        <v>84</v>
      </c>
      <c r="M16" s="14"/>
      <c r="N16" s="36"/>
      <c r="O16" s="131">
        <v>1</v>
      </c>
      <c r="P16" s="131">
        <f>COUNTA(Tab_Industry[[#This Row],[Investment]])</f>
        <v>1</v>
      </c>
      <c r="Q16" s="131">
        <f>COUNTA(Tab_Industry[[#This Row],[Lead department]])</f>
        <v>1</v>
      </c>
      <c r="R16" s="131">
        <f>COUNTA(Tab_Industry[[#This Row],[Spec target / outcome]])</f>
        <v>0</v>
      </c>
      <c r="S16" s="131">
        <f>COUNTA(Tab_Industry[[#This Row],[Obligations]])</f>
        <v>1</v>
      </c>
      <c r="T16" s="131">
        <f t="shared" si="0"/>
        <v>1</v>
      </c>
      <c r="U16" s="131">
        <f t="shared" si="1"/>
        <v>0</v>
      </c>
      <c r="V16" s="8" t="str">
        <f>IF(Tab_Industry[[#This Row],[Energy demand focus]]="Y",Tab_Industry[[#This Row],[Category]],0)</f>
        <v>Investment</v>
      </c>
      <c r="W16" s="8" t="str">
        <f>IF(Tab_Industry[[#This Row],[Energy demand focus]]="Y",Tab_Industry[[#This Row],[Investment]],0)</f>
        <v>£18 million</v>
      </c>
      <c r="X16" s="8">
        <f>IF(Tab_Industry[[#This Row],[Energy demand focus]]="N",Tab_Industry[[#This Row],[Investment]],0)</f>
        <v>0</v>
      </c>
    </row>
    <row r="17" spans="1:24" s="1" customFormat="1" ht="30" x14ac:dyDescent="0.25">
      <c r="A17" s="16">
        <v>66</v>
      </c>
      <c r="B17" s="16">
        <v>10</v>
      </c>
      <c r="C17" s="109" t="s">
        <v>682</v>
      </c>
      <c r="D17" s="17" t="s">
        <v>109</v>
      </c>
      <c r="E17" s="206" t="s">
        <v>19</v>
      </c>
      <c r="F17" s="206" t="s">
        <v>19</v>
      </c>
      <c r="G17" s="17" t="s">
        <v>110</v>
      </c>
      <c r="H17" s="17"/>
      <c r="I17" s="16"/>
      <c r="J17" s="16"/>
      <c r="K17" s="16"/>
      <c r="L17" s="16" t="s">
        <v>84</v>
      </c>
      <c r="M17" s="16"/>
      <c r="N17" s="37"/>
      <c r="O17" s="131">
        <v>0</v>
      </c>
      <c r="P17" s="131">
        <f>COUNTA(Tab_Industry[[#This Row],[Investment]])</f>
        <v>0</v>
      </c>
      <c r="Q17" s="131">
        <f>COUNTA(Tab_Industry[[#This Row],[Lead department]])</f>
        <v>0</v>
      </c>
      <c r="R17" s="131">
        <f>COUNTA(Tab_Industry[[#This Row],[Spec target / outcome]])</f>
        <v>0</v>
      </c>
      <c r="S17" s="131">
        <f>COUNTA(Tab_Industry[[#This Row],[Obligations]])</f>
        <v>0</v>
      </c>
      <c r="T17" s="131">
        <f t="shared" si="0"/>
        <v>1</v>
      </c>
      <c r="U17" s="131">
        <f t="shared" si="1"/>
        <v>0</v>
      </c>
      <c r="V17" s="8" t="str">
        <f>IF(Tab_Industry[[#This Row],[Energy demand focus]]="Y",Tab_Industry[[#This Row],[Category]],0)</f>
        <v>Information</v>
      </c>
      <c r="W17" s="8">
        <f>IF(Tab_Industry[[#This Row],[Energy demand focus]]="Y",Tab_Industry[[#This Row],[Investment]],0)</f>
        <v>0</v>
      </c>
      <c r="X17" s="8">
        <f>IF(Tab_Industry[[#This Row],[Energy demand focus]]="N",Tab_Industry[[#This Row],[Investment]],0)</f>
        <v>0</v>
      </c>
    </row>
    <row r="18" spans="1:24" s="1" customFormat="1" ht="30" x14ac:dyDescent="0.25">
      <c r="A18" s="14">
        <v>67</v>
      </c>
      <c r="B18" s="14" t="s">
        <v>101</v>
      </c>
      <c r="C18" s="36" t="s">
        <v>683</v>
      </c>
      <c r="D18" s="15" t="s">
        <v>457</v>
      </c>
      <c r="E18" s="15" t="s">
        <v>19</v>
      </c>
      <c r="F18" s="15" t="s">
        <v>19</v>
      </c>
      <c r="G18" s="15" t="s">
        <v>100</v>
      </c>
      <c r="H18" s="15"/>
      <c r="I18" s="14"/>
      <c r="J18" s="14"/>
      <c r="K18" s="14"/>
      <c r="L18" s="14" t="s">
        <v>84</v>
      </c>
      <c r="M18" s="14" t="s">
        <v>565</v>
      </c>
      <c r="N18" s="36"/>
      <c r="O18" s="131">
        <v>1</v>
      </c>
      <c r="P18" s="131">
        <f>COUNTA(Tab_Industry[[#This Row],[Investment]])</f>
        <v>0</v>
      </c>
      <c r="Q18" s="131">
        <f>COUNTA(Tab_Industry[[#This Row],[Lead department]])</f>
        <v>0</v>
      </c>
      <c r="R18" s="131">
        <f>COUNTA(Tab_Industry[[#This Row],[Spec target / outcome]])</f>
        <v>0</v>
      </c>
      <c r="S18" s="131">
        <f>COUNTA(Tab_Industry[[#This Row],[Obligations]])</f>
        <v>0</v>
      </c>
      <c r="T18" s="131">
        <f t="shared" si="0"/>
        <v>1</v>
      </c>
      <c r="U18" s="131">
        <f t="shared" si="1"/>
        <v>0</v>
      </c>
      <c r="V18" s="8" t="str">
        <f>IF(Tab_Industry[[#This Row],[Energy demand focus]]="Y",Tab_Industry[[#This Row],[Category]],0)</f>
        <v>Information</v>
      </c>
      <c r="W18" s="8">
        <f>IF(Tab_Industry[[#This Row],[Energy demand focus]]="Y",Tab_Industry[[#This Row],[Investment]],0)</f>
        <v>0</v>
      </c>
      <c r="X18" s="8">
        <f>IF(Tab_Industry[[#This Row],[Energy demand focus]]="N",Tab_Industry[[#This Row],[Investment]],0)</f>
        <v>0</v>
      </c>
    </row>
    <row r="19" spans="1:24" s="1" customFormat="1" ht="60" x14ac:dyDescent="0.25">
      <c r="A19" s="14">
        <v>67</v>
      </c>
      <c r="B19" s="14" t="s">
        <v>102</v>
      </c>
      <c r="C19" s="36" t="s">
        <v>683</v>
      </c>
      <c r="D19" s="15" t="s">
        <v>458</v>
      </c>
      <c r="E19" s="15" t="s">
        <v>103</v>
      </c>
      <c r="F19" s="15" t="s">
        <v>785</v>
      </c>
      <c r="G19" s="15" t="s">
        <v>447</v>
      </c>
      <c r="H19" s="15"/>
      <c r="I19" s="14"/>
      <c r="J19" s="14" t="s">
        <v>718</v>
      </c>
      <c r="K19" s="14" t="s">
        <v>720</v>
      </c>
      <c r="L19" s="14" t="s">
        <v>84</v>
      </c>
      <c r="M19" s="14" t="s">
        <v>565</v>
      </c>
      <c r="N19" s="36"/>
      <c r="O19" s="131">
        <v>1</v>
      </c>
      <c r="P19" s="131">
        <f>COUNTA(Tab_Industry[[#This Row],[Investment]])</f>
        <v>0</v>
      </c>
      <c r="Q19" s="131">
        <f>COUNTA(Tab_Industry[[#This Row],[Lead department]])</f>
        <v>0</v>
      </c>
      <c r="R19" s="131">
        <f>COUNTA(Tab_Industry[[#This Row],[Spec target / outcome]])</f>
        <v>1</v>
      </c>
      <c r="S19" s="131">
        <f>COUNTA(Tab_Industry[[#This Row],[Obligations]])</f>
        <v>1</v>
      </c>
      <c r="T19" s="131">
        <f t="shared" si="0"/>
        <v>1</v>
      </c>
      <c r="U19" s="131">
        <f t="shared" si="1"/>
        <v>0</v>
      </c>
      <c r="V19" s="8" t="str">
        <f>IF(Tab_Industry[[#This Row],[Energy demand focus]]="Y",Tab_Industry[[#This Row],[Category]],0)</f>
        <v>Regulatory</v>
      </c>
      <c r="W19" s="8">
        <f>IF(Tab_Industry[[#This Row],[Energy demand focus]]="Y",Tab_Industry[[#This Row],[Investment]],0)</f>
        <v>0</v>
      </c>
      <c r="X19" s="8">
        <f>IF(Tab_Industry[[#This Row],[Energy demand focus]]="N",Tab_Industry[[#This Row],[Investment]],0)</f>
        <v>0</v>
      </c>
    </row>
    <row r="20" spans="1:24" s="1" customFormat="1" ht="30" x14ac:dyDescent="0.25">
      <c r="A20" s="14">
        <v>67</v>
      </c>
      <c r="B20" s="14">
        <v>12</v>
      </c>
      <c r="C20" s="36" t="s">
        <v>683</v>
      </c>
      <c r="D20" s="15" t="s">
        <v>106</v>
      </c>
      <c r="E20" s="15" t="s">
        <v>107</v>
      </c>
      <c r="F20" s="15" t="s">
        <v>785</v>
      </c>
      <c r="G20" s="15" t="s">
        <v>108</v>
      </c>
      <c r="H20" s="15"/>
      <c r="I20" s="14" t="s">
        <v>578</v>
      </c>
      <c r="J20" s="14" t="s">
        <v>717</v>
      </c>
      <c r="K20" s="14" t="s">
        <v>729</v>
      </c>
      <c r="L20" s="14" t="s">
        <v>84</v>
      </c>
      <c r="M20" s="14" t="s">
        <v>573</v>
      </c>
      <c r="N20" s="36"/>
      <c r="O20" s="131">
        <v>1</v>
      </c>
      <c r="P20" s="131">
        <f>COUNTA(Tab_Industry[[#This Row],[Investment]])</f>
        <v>0</v>
      </c>
      <c r="Q20" s="131">
        <f>COUNTA(Tab_Industry[[#This Row],[Lead department]])</f>
        <v>1</v>
      </c>
      <c r="R20" s="131">
        <f>COUNTA(Tab_Industry[[#This Row],[Spec target / outcome]])</f>
        <v>1</v>
      </c>
      <c r="S20" s="131">
        <f>COUNTA(Tab_Industry[[#This Row],[Obligations]])</f>
        <v>1</v>
      </c>
      <c r="T20" s="131">
        <f t="shared" si="0"/>
        <v>1</v>
      </c>
      <c r="U20" s="131">
        <f t="shared" si="1"/>
        <v>0</v>
      </c>
      <c r="V20" s="8" t="str">
        <f>IF(Tab_Industry[[#This Row],[Energy demand focus]]="Y",Tab_Industry[[#This Row],[Category]],0)</f>
        <v>Regulatory</v>
      </c>
      <c r="W20" s="8">
        <f>IF(Tab_Industry[[#This Row],[Energy demand focus]]="Y",Tab_Industry[[#This Row],[Investment]],0)</f>
        <v>0</v>
      </c>
      <c r="X20" s="8">
        <f>IF(Tab_Industry[[#This Row],[Energy demand focus]]="N",Tab_Industry[[#This Row],[Investment]],0)</f>
        <v>0</v>
      </c>
    </row>
    <row r="21" spans="1:24" s="1" customFormat="1" ht="30" x14ac:dyDescent="0.25">
      <c r="A21" s="14">
        <v>67</v>
      </c>
      <c r="B21" s="14">
        <v>13</v>
      </c>
      <c r="C21" s="36" t="s">
        <v>683</v>
      </c>
      <c r="D21" s="15" t="s">
        <v>136</v>
      </c>
      <c r="E21" s="15" t="s">
        <v>19</v>
      </c>
      <c r="F21" s="15" t="s">
        <v>19</v>
      </c>
      <c r="G21" s="15"/>
      <c r="H21" s="15"/>
      <c r="I21" s="14"/>
      <c r="J21" s="14" t="s">
        <v>719</v>
      </c>
      <c r="K21" s="14" t="s">
        <v>719</v>
      </c>
      <c r="L21" s="14" t="s">
        <v>84</v>
      </c>
      <c r="M21" s="14"/>
      <c r="N21" s="36"/>
      <c r="O21" s="131">
        <v>0</v>
      </c>
      <c r="P21" s="131">
        <f>COUNTA(Tab_Industry[[#This Row],[Investment]])</f>
        <v>0</v>
      </c>
      <c r="Q21" s="131">
        <f>COUNTA(Tab_Industry[[#This Row],[Lead department]])</f>
        <v>0</v>
      </c>
      <c r="R21" s="131">
        <f>COUNTA(Tab_Industry[[#This Row],[Spec target / outcome]])</f>
        <v>1</v>
      </c>
      <c r="S21" s="131">
        <f>COUNTA(Tab_Industry[[#This Row],[Obligations]])</f>
        <v>1</v>
      </c>
      <c r="T21" s="131">
        <f t="shared" si="0"/>
        <v>1</v>
      </c>
      <c r="U21" s="131">
        <f t="shared" si="1"/>
        <v>0</v>
      </c>
      <c r="V21" s="8" t="str">
        <f>IF(Tab_Industry[[#This Row],[Energy demand focus]]="Y",Tab_Industry[[#This Row],[Category]],0)</f>
        <v>Information</v>
      </c>
      <c r="W21" s="8">
        <f>IF(Tab_Industry[[#This Row],[Energy demand focus]]="Y",Tab_Industry[[#This Row],[Investment]],0)</f>
        <v>0</v>
      </c>
      <c r="X21" s="8">
        <f>IF(Tab_Industry[[#This Row],[Energy demand focus]]="N",Tab_Industry[[#This Row],[Investment]],0)</f>
        <v>0</v>
      </c>
    </row>
    <row r="22" spans="1:24" s="1" customFormat="1" ht="45" x14ac:dyDescent="0.25">
      <c r="A22" s="16">
        <v>67</v>
      </c>
      <c r="B22" s="16">
        <v>14</v>
      </c>
      <c r="C22" s="36" t="s">
        <v>683</v>
      </c>
      <c r="D22" s="17" t="s">
        <v>588</v>
      </c>
      <c r="E22" s="17" t="s">
        <v>103</v>
      </c>
      <c r="F22" s="15" t="s">
        <v>785</v>
      </c>
      <c r="G22" s="17" t="s">
        <v>111</v>
      </c>
      <c r="H22" s="17"/>
      <c r="I22" s="16" t="s">
        <v>559</v>
      </c>
      <c r="J22" s="16" t="s">
        <v>731</v>
      </c>
      <c r="K22" s="16" t="s">
        <v>720</v>
      </c>
      <c r="L22" s="16" t="s">
        <v>67</v>
      </c>
      <c r="M22" s="16" t="s">
        <v>587</v>
      </c>
      <c r="N22" s="37"/>
      <c r="O22" s="131">
        <v>1</v>
      </c>
      <c r="P22" s="131">
        <f>COUNTA(Tab_Industry[[#This Row],[Investment]])</f>
        <v>0</v>
      </c>
      <c r="Q22" s="131">
        <f>COUNTA(Tab_Industry[[#This Row],[Lead department]])</f>
        <v>1</v>
      </c>
      <c r="R22" s="131">
        <f>COUNTA(Tab_Industry[[#This Row],[Spec target / outcome]])</f>
        <v>1</v>
      </c>
      <c r="S22" s="131">
        <f>COUNTA(Tab_Industry[[#This Row],[Obligations]])</f>
        <v>1</v>
      </c>
      <c r="T22" s="131">
        <f t="shared" si="0"/>
        <v>0</v>
      </c>
      <c r="U22" s="131">
        <f t="shared" si="1"/>
        <v>1</v>
      </c>
      <c r="V22" s="8">
        <f>IF(Tab_Industry[[#This Row],[Energy demand focus]]="Y",Tab_Industry[[#This Row],[Category]],0)</f>
        <v>0</v>
      </c>
      <c r="W22" s="8">
        <f>IF(Tab_Industry[[#This Row],[Energy demand focus]]="Y",Tab_Industry[[#This Row],[Investment]],0)</f>
        <v>0</v>
      </c>
      <c r="X22" s="8">
        <f>IF(Tab_Industry[[#This Row],[Energy demand focus]]="N",Tab_Industry[[#This Row],[Investment]],0)</f>
        <v>0</v>
      </c>
    </row>
    <row r="23" spans="1:24" s="1" customFormat="1" ht="45" x14ac:dyDescent="0.25">
      <c r="A23" s="14">
        <v>68</v>
      </c>
      <c r="B23" s="14" t="s">
        <v>115</v>
      </c>
      <c r="C23" s="36" t="s">
        <v>684</v>
      </c>
      <c r="D23" s="15" t="s">
        <v>112</v>
      </c>
      <c r="E23" s="15" t="s">
        <v>113</v>
      </c>
      <c r="F23" s="15" t="s">
        <v>130</v>
      </c>
      <c r="G23" s="15" t="s">
        <v>566</v>
      </c>
      <c r="H23" s="15"/>
      <c r="I23" s="14" t="s">
        <v>559</v>
      </c>
      <c r="J23" s="14"/>
      <c r="K23" s="14" t="s">
        <v>720</v>
      </c>
      <c r="L23" s="14" t="s">
        <v>192</v>
      </c>
      <c r="M23" s="14"/>
      <c r="N23" s="36" t="s">
        <v>87</v>
      </c>
      <c r="O23" s="131">
        <v>1</v>
      </c>
      <c r="P23" s="131">
        <f>COUNTA(Tab_Industry[[#This Row],[Investment]])</f>
        <v>0</v>
      </c>
      <c r="Q23" s="131">
        <f>COUNTA(Tab_Industry[[#This Row],[Lead department]])</f>
        <v>1</v>
      </c>
      <c r="R23" s="131">
        <f>COUNTA(Tab_Industry[[#This Row],[Spec target / outcome]])</f>
        <v>0</v>
      </c>
      <c r="S23" s="131">
        <f>COUNTA(Tab_Industry[[#This Row],[Obligations]])</f>
        <v>1</v>
      </c>
      <c r="T23" s="131">
        <f t="shared" si="0"/>
        <v>0</v>
      </c>
      <c r="U23" s="131">
        <f t="shared" si="1"/>
        <v>0</v>
      </c>
      <c r="V23" s="8">
        <f>IF(Tab_Industry[[#This Row],[Energy demand focus]]="Y",Tab_Industry[[#This Row],[Category]],0)</f>
        <v>0</v>
      </c>
      <c r="W23" s="8">
        <f>IF(Tab_Industry[[#This Row],[Energy demand focus]]="Y",Tab_Industry[[#This Row],[Investment]],0)</f>
        <v>0</v>
      </c>
      <c r="X23" s="8">
        <f>IF(Tab_Industry[[#This Row],[Energy demand focus]]="N",Tab_Industry[[#This Row],[Investment]],0)</f>
        <v>0</v>
      </c>
    </row>
    <row r="24" spans="1:24" s="1" customFormat="1" ht="45" x14ac:dyDescent="0.25">
      <c r="A24" s="14">
        <v>68</v>
      </c>
      <c r="B24" s="14" t="s">
        <v>114</v>
      </c>
      <c r="C24" s="36" t="s">
        <v>684</v>
      </c>
      <c r="D24" s="15" t="s">
        <v>116</v>
      </c>
      <c r="E24" s="15" t="s">
        <v>117</v>
      </c>
      <c r="F24" s="15" t="s">
        <v>19</v>
      </c>
      <c r="G24" s="15"/>
      <c r="H24" s="15"/>
      <c r="I24" s="14"/>
      <c r="J24" s="14"/>
      <c r="K24" s="14"/>
      <c r="L24" s="14" t="s">
        <v>14</v>
      </c>
      <c r="M24" s="14"/>
      <c r="N24" s="36" t="s">
        <v>118</v>
      </c>
      <c r="O24" s="131">
        <v>0</v>
      </c>
      <c r="P24" s="131">
        <f>COUNTA(Tab_Industry[[#This Row],[Investment]])</f>
        <v>0</v>
      </c>
      <c r="Q24" s="131">
        <f>COUNTA(Tab_Industry[[#This Row],[Lead department]])</f>
        <v>0</v>
      </c>
      <c r="R24" s="131">
        <f>COUNTA(Tab_Industry[[#This Row],[Spec target / outcome]])</f>
        <v>0</v>
      </c>
      <c r="S24" s="131">
        <f>COUNTA(Tab_Industry[[#This Row],[Obligations]])</f>
        <v>0</v>
      </c>
      <c r="T24" s="131">
        <f t="shared" si="0"/>
        <v>0</v>
      </c>
      <c r="U24" s="131">
        <f t="shared" si="1"/>
        <v>0</v>
      </c>
      <c r="V24" s="8">
        <f>IF(Tab_Industry[[#This Row],[Energy demand focus]]="Y",Tab_Industry[[#This Row],[Category]],0)</f>
        <v>0</v>
      </c>
      <c r="W24" s="8">
        <f>IF(Tab_Industry[[#This Row],[Energy demand focus]]="Y",Tab_Industry[[#This Row],[Investment]],0)</f>
        <v>0</v>
      </c>
      <c r="X24" s="8">
        <f>IF(Tab_Industry[[#This Row],[Energy demand focus]]="N",Tab_Industry[[#This Row],[Investment]],0)</f>
        <v>0</v>
      </c>
    </row>
    <row r="25" spans="1:24" s="1" customFormat="1" ht="30" x14ac:dyDescent="0.25">
      <c r="A25" s="14">
        <v>68</v>
      </c>
      <c r="B25" s="14">
        <v>16</v>
      </c>
      <c r="C25" s="36" t="s">
        <v>684</v>
      </c>
      <c r="D25" s="15" t="s">
        <v>119</v>
      </c>
      <c r="E25" s="15" t="s">
        <v>120</v>
      </c>
      <c r="F25" s="15" t="s">
        <v>784</v>
      </c>
      <c r="G25" s="15" t="s">
        <v>449</v>
      </c>
      <c r="H25" s="15"/>
      <c r="I25" s="14" t="s">
        <v>582</v>
      </c>
      <c r="J25" s="14" t="s">
        <v>718</v>
      </c>
      <c r="K25" s="14" t="s">
        <v>720</v>
      </c>
      <c r="L25" s="14" t="s">
        <v>16</v>
      </c>
      <c r="M25" s="14"/>
      <c r="N25" s="36"/>
      <c r="O25" s="131">
        <v>1</v>
      </c>
      <c r="P25" s="131">
        <f>COUNTA(Tab_Industry[[#This Row],[Investment]])</f>
        <v>0</v>
      </c>
      <c r="Q25" s="131">
        <f>COUNTA(Tab_Industry[[#This Row],[Lead department]])</f>
        <v>1</v>
      </c>
      <c r="R25" s="131">
        <f>COUNTA(Tab_Industry[[#This Row],[Spec target / outcome]])</f>
        <v>1</v>
      </c>
      <c r="S25" s="131">
        <f>COUNTA(Tab_Industry[[#This Row],[Obligations]])</f>
        <v>1</v>
      </c>
      <c r="T25" s="131">
        <f t="shared" si="0"/>
        <v>0</v>
      </c>
      <c r="U25" s="131">
        <f t="shared" si="1"/>
        <v>0</v>
      </c>
      <c r="V25" s="8">
        <f>IF(Tab_Industry[[#This Row],[Energy demand focus]]="Y",Tab_Industry[[#This Row],[Category]],0)</f>
        <v>0</v>
      </c>
      <c r="W25" s="8">
        <f>IF(Tab_Industry[[#This Row],[Energy demand focus]]="Y",Tab_Industry[[#This Row],[Investment]],0)</f>
        <v>0</v>
      </c>
      <c r="X25" s="8">
        <f>IF(Tab_Industry[[#This Row],[Energy demand focus]]="N",Tab_Industry[[#This Row],[Investment]],0)</f>
        <v>0</v>
      </c>
    </row>
    <row r="26" spans="1:24" s="1" customFormat="1" ht="45" x14ac:dyDescent="0.25">
      <c r="A26" s="14">
        <v>68</v>
      </c>
      <c r="B26" s="14" t="s">
        <v>567</v>
      </c>
      <c r="C26" s="36" t="s">
        <v>684</v>
      </c>
      <c r="D26" s="15" t="s">
        <v>121</v>
      </c>
      <c r="E26" s="15" t="s">
        <v>576</v>
      </c>
      <c r="F26" s="15" t="s">
        <v>130</v>
      </c>
      <c r="G26" s="15" t="s">
        <v>450</v>
      </c>
      <c r="H26" s="15"/>
      <c r="I26" s="14" t="s">
        <v>559</v>
      </c>
      <c r="J26" s="14"/>
      <c r="K26" s="14" t="s">
        <v>720</v>
      </c>
      <c r="L26" s="14" t="s">
        <v>67</v>
      </c>
      <c r="M26" s="14"/>
      <c r="N26" s="36" t="s">
        <v>87</v>
      </c>
      <c r="O26" s="131">
        <v>1</v>
      </c>
      <c r="P26" s="131">
        <f>COUNTA(Tab_Industry[[#This Row],[Investment]])</f>
        <v>0</v>
      </c>
      <c r="Q26" s="131">
        <f>COUNTA(Tab_Industry[[#This Row],[Lead department]])</f>
        <v>1</v>
      </c>
      <c r="R26" s="131">
        <f>COUNTA(Tab_Industry[[#This Row],[Spec target / outcome]])</f>
        <v>0</v>
      </c>
      <c r="S26" s="131">
        <f>COUNTA(Tab_Industry[[#This Row],[Obligations]])</f>
        <v>1</v>
      </c>
      <c r="T26" s="131">
        <f t="shared" si="0"/>
        <v>0</v>
      </c>
      <c r="U26" s="131">
        <f t="shared" si="1"/>
        <v>1</v>
      </c>
      <c r="V26" s="8">
        <f>IF(Tab_Industry[[#This Row],[Energy demand focus]]="Y",Tab_Industry[[#This Row],[Category]],0)</f>
        <v>0</v>
      </c>
      <c r="W26" s="8">
        <f>IF(Tab_Industry[[#This Row],[Energy demand focus]]="Y",Tab_Industry[[#This Row],[Investment]],0)</f>
        <v>0</v>
      </c>
      <c r="X26" s="8">
        <f>IF(Tab_Industry[[#This Row],[Energy demand focus]]="N",Tab_Industry[[#This Row],[Investment]],0)</f>
        <v>0</v>
      </c>
    </row>
    <row r="27" spans="1:24" s="1" customFormat="1" ht="45" x14ac:dyDescent="0.25">
      <c r="A27" s="16">
        <v>132</v>
      </c>
      <c r="B27" s="16" t="s">
        <v>568</v>
      </c>
      <c r="C27" s="36" t="s">
        <v>684</v>
      </c>
      <c r="D27" s="17" t="s">
        <v>571</v>
      </c>
      <c r="E27" s="17" t="s">
        <v>569</v>
      </c>
      <c r="F27" s="17" t="s">
        <v>388</v>
      </c>
      <c r="G27" s="17" t="s">
        <v>570</v>
      </c>
      <c r="H27" s="17"/>
      <c r="I27" s="16" t="s">
        <v>559</v>
      </c>
      <c r="J27" s="16" t="s">
        <v>732</v>
      </c>
      <c r="K27" s="16"/>
      <c r="L27" s="16" t="s">
        <v>67</v>
      </c>
      <c r="M27" s="16"/>
      <c r="N27" s="37"/>
      <c r="O27" s="131">
        <v>1</v>
      </c>
      <c r="P27" s="131">
        <f>COUNTA(Tab_Industry[[#This Row],[Investment]])</f>
        <v>0</v>
      </c>
      <c r="Q27" s="131">
        <f>COUNTA(Tab_Industry[[#This Row],[Lead department]])</f>
        <v>1</v>
      </c>
      <c r="R27" s="131">
        <f>COUNTA(Tab_Industry[[#This Row],[Spec target / outcome]])</f>
        <v>1</v>
      </c>
      <c r="S27" s="131">
        <f>COUNTA(Tab_Industry[[#This Row],[Obligations]])</f>
        <v>0</v>
      </c>
      <c r="T27" s="131">
        <f t="shared" si="0"/>
        <v>0</v>
      </c>
      <c r="U27" s="131">
        <f t="shared" si="1"/>
        <v>1</v>
      </c>
      <c r="V27" s="8">
        <f>IF(Tab_Industry[[#This Row],[Energy demand focus]]="Y",Tab_Industry[[#This Row],[Category]],0)</f>
        <v>0</v>
      </c>
      <c r="W27" s="8">
        <f>IF(Tab_Industry[[#This Row],[Energy demand focus]]="Y",Tab_Industry[[#This Row],[Investment]],0)</f>
        <v>0</v>
      </c>
      <c r="X27" s="8">
        <f>IF(Tab_Industry[[#This Row],[Energy demand focus]]="N",Tab_Industry[[#This Row],[Investment]],0)</f>
        <v>0</v>
      </c>
    </row>
    <row r="28" spans="1:24" ht="45" x14ac:dyDescent="0.25">
      <c r="A28" s="14">
        <v>68</v>
      </c>
      <c r="B28" s="14"/>
      <c r="C28" s="112" t="s">
        <v>694</v>
      </c>
      <c r="D28" s="15" t="s">
        <v>298</v>
      </c>
      <c r="E28" s="15" t="s">
        <v>122</v>
      </c>
      <c r="F28" s="15" t="s">
        <v>1</v>
      </c>
      <c r="G28" s="15" t="s">
        <v>191</v>
      </c>
      <c r="H28" s="73" t="s">
        <v>299</v>
      </c>
      <c r="I28" s="14"/>
      <c r="J28" s="14"/>
      <c r="K28" s="14"/>
      <c r="L28" s="14" t="s">
        <v>192</v>
      </c>
      <c r="M28" s="113"/>
      <c r="N28" s="36"/>
      <c r="O28" s="131">
        <v>1</v>
      </c>
      <c r="P28" s="131">
        <f>COUNTA(Tab_Industry[[#This Row],[Investment]])</f>
        <v>1</v>
      </c>
      <c r="Q28" s="131">
        <f>COUNTA(Tab_Industry[[#This Row],[Lead department]])</f>
        <v>0</v>
      </c>
      <c r="R28" s="131">
        <f>COUNTA(Tab_Industry[[#This Row],[Spec target / outcome]])</f>
        <v>0</v>
      </c>
      <c r="S28" s="131">
        <f>COUNTA(Tab_Industry[[#This Row],[Obligations]])</f>
        <v>0</v>
      </c>
      <c r="T28" s="131">
        <f t="shared" si="0"/>
        <v>0</v>
      </c>
      <c r="U28" s="131">
        <f t="shared" si="1"/>
        <v>0</v>
      </c>
      <c r="V28" s="8">
        <f>IF(Tab_Industry[[#This Row],[Energy demand focus]]="Y",Tab_Industry[[#This Row],[Category]],0)</f>
        <v>0</v>
      </c>
      <c r="W28" s="8">
        <f>IF(Tab_Industry[[#This Row],[Energy demand focus]]="Y",Tab_Industry[[#This Row],[Investment]],0)</f>
        <v>0</v>
      </c>
      <c r="X28" s="8">
        <f>IF(Tab_Industry[[#This Row],[Energy demand focus]]="N",Tab_Industry[[#This Row],[Investment]],0)</f>
        <v>0</v>
      </c>
    </row>
    <row r="29" spans="1:24" ht="45" x14ac:dyDescent="0.25">
      <c r="A29" s="14">
        <v>68</v>
      </c>
      <c r="B29" s="14"/>
      <c r="C29" s="112" t="s">
        <v>694</v>
      </c>
      <c r="D29" s="15" t="s">
        <v>590</v>
      </c>
      <c r="E29" s="15" t="s">
        <v>122</v>
      </c>
      <c r="F29" s="15" t="s">
        <v>1</v>
      </c>
      <c r="G29" s="15"/>
      <c r="H29" s="15" t="s">
        <v>123</v>
      </c>
      <c r="I29" s="14"/>
      <c r="J29" s="14"/>
      <c r="K29" s="14"/>
      <c r="L29" s="14" t="s">
        <v>84</v>
      </c>
      <c r="M29" s="113"/>
      <c r="N29" s="36"/>
      <c r="O29" s="131">
        <v>0</v>
      </c>
      <c r="P29" s="131">
        <f>COUNTA(Tab_Industry[[#This Row],[Investment]])</f>
        <v>1</v>
      </c>
      <c r="Q29" s="131">
        <f>COUNTA(Tab_Industry[[#This Row],[Lead department]])</f>
        <v>0</v>
      </c>
      <c r="R29" s="131">
        <f>COUNTA(Tab_Industry[[#This Row],[Spec target / outcome]])</f>
        <v>0</v>
      </c>
      <c r="S29" s="131">
        <f>COUNTA(Tab_Industry[[#This Row],[Obligations]])</f>
        <v>0</v>
      </c>
      <c r="T29" s="131">
        <f t="shared" si="0"/>
        <v>1</v>
      </c>
      <c r="U29" s="131">
        <f t="shared" si="1"/>
        <v>0</v>
      </c>
      <c r="V29" s="8" t="str">
        <f>IF(Tab_Industry[[#This Row],[Energy demand focus]]="Y",Tab_Industry[[#This Row],[Category]],0)</f>
        <v>Investment</v>
      </c>
      <c r="W29" s="8" t="str">
        <f>IF(Tab_Industry[[#This Row],[Energy demand focus]]="Y",Tab_Industry[[#This Row],[Investment]],0)</f>
        <v>£9.2 million</v>
      </c>
      <c r="X29" s="8">
        <f>IF(Tab_Industry[[#This Row],[Energy demand focus]]="N",Tab_Industry[[#This Row],[Investment]],0)</f>
        <v>0</v>
      </c>
    </row>
    <row r="30" spans="1:24" ht="30" x14ac:dyDescent="0.25">
      <c r="A30" s="14">
        <v>68</v>
      </c>
      <c r="B30" s="14"/>
      <c r="C30" s="112" t="s">
        <v>694</v>
      </c>
      <c r="D30" s="15" t="s">
        <v>124</v>
      </c>
      <c r="E30" s="15" t="s">
        <v>122</v>
      </c>
      <c r="F30" s="15" t="s">
        <v>1</v>
      </c>
      <c r="G30" s="15"/>
      <c r="H30" s="15"/>
      <c r="I30" s="14"/>
      <c r="J30" s="14"/>
      <c r="K30" s="14"/>
      <c r="L30" s="14" t="s">
        <v>67</v>
      </c>
      <c r="M30" s="113"/>
      <c r="N30" s="36"/>
      <c r="O30" s="131">
        <v>0</v>
      </c>
      <c r="P30" s="131">
        <f>COUNTA(Tab_Industry[[#This Row],[Investment]])</f>
        <v>0</v>
      </c>
      <c r="Q30" s="131">
        <f>COUNTA(Tab_Industry[[#This Row],[Lead department]])</f>
        <v>0</v>
      </c>
      <c r="R30" s="131">
        <f>COUNTA(Tab_Industry[[#This Row],[Spec target / outcome]])</f>
        <v>0</v>
      </c>
      <c r="S30" s="131">
        <f>COUNTA(Tab_Industry[[#This Row],[Obligations]])</f>
        <v>0</v>
      </c>
      <c r="T30" s="131">
        <f t="shared" si="0"/>
        <v>0</v>
      </c>
      <c r="U30" s="131">
        <f t="shared" si="1"/>
        <v>1</v>
      </c>
      <c r="V30" s="8">
        <f>IF(Tab_Industry[[#This Row],[Energy demand focus]]="Y",Tab_Industry[[#This Row],[Category]],0)</f>
        <v>0</v>
      </c>
      <c r="W30" s="8">
        <f>IF(Tab_Industry[[#This Row],[Energy demand focus]]="Y",Tab_Industry[[#This Row],[Investment]],0)</f>
        <v>0</v>
      </c>
      <c r="X30" s="8">
        <f>IF(Tab_Industry[[#This Row],[Energy demand focus]]="N",Tab_Industry[[#This Row],[Investment]],0)</f>
        <v>0</v>
      </c>
    </row>
    <row r="31" spans="1:24" x14ac:dyDescent="0.25">
      <c r="A31" s="14">
        <v>68</v>
      </c>
      <c r="B31" s="14"/>
      <c r="C31" s="112" t="s">
        <v>694</v>
      </c>
      <c r="D31" s="15" t="s">
        <v>125</v>
      </c>
      <c r="E31" s="15" t="s">
        <v>126</v>
      </c>
      <c r="F31" s="15" t="s">
        <v>784</v>
      </c>
      <c r="G31" s="15"/>
      <c r="H31" s="15"/>
      <c r="I31" s="14"/>
      <c r="J31" s="14"/>
      <c r="K31" s="14"/>
      <c r="L31" s="14" t="s">
        <v>67</v>
      </c>
      <c r="M31" s="113"/>
      <c r="N31" s="36" t="s">
        <v>87</v>
      </c>
      <c r="O31" s="131">
        <v>0</v>
      </c>
      <c r="P31" s="131">
        <f>COUNTA(Tab_Industry[[#This Row],[Investment]])</f>
        <v>0</v>
      </c>
      <c r="Q31" s="131">
        <f>COUNTA(Tab_Industry[[#This Row],[Lead department]])</f>
        <v>0</v>
      </c>
      <c r="R31" s="131">
        <f>COUNTA(Tab_Industry[[#This Row],[Spec target / outcome]])</f>
        <v>0</v>
      </c>
      <c r="S31" s="131">
        <f>COUNTA(Tab_Industry[[#This Row],[Obligations]])</f>
        <v>0</v>
      </c>
      <c r="T31" s="131">
        <f t="shared" si="0"/>
        <v>0</v>
      </c>
      <c r="U31" s="131">
        <f t="shared" si="1"/>
        <v>1</v>
      </c>
      <c r="V31" s="8">
        <f>IF(Tab_Industry[[#This Row],[Energy demand focus]]="Y",Tab_Industry[[#This Row],[Category]],0)</f>
        <v>0</v>
      </c>
      <c r="W31" s="8">
        <f>IF(Tab_Industry[[#This Row],[Energy demand focus]]="Y",Tab_Industry[[#This Row],[Investment]],0)</f>
        <v>0</v>
      </c>
      <c r="X31" s="8">
        <f>IF(Tab_Industry[[#This Row],[Energy demand focus]]="N",Tab_Industry[[#This Row],[Investment]],0)</f>
        <v>0</v>
      </c>
    </row>
    <row r="32" spans="1:24" x14ac:dyDescent="0.25">
      <c r="A32" s="14">
        <v>68</v>
      </c>
      <c r="B32" s="14"/>
      <c r="C32" s="112" t="s">
        <v>694</v>
      </c>
      <c r="D32" s="15" t="s">
        <v>127</v>
      </c>
      <c r="E32" s="15" t="s">
        <v>14</v>
      </c>
      <c r="F32" s="15" t="s">
        <v>14</v>
      </c>
      <c r="G32" s="15"/>
      <c r="H32" s="15"/>
      <c r="I32" s="14"/>
      <c r="J32" s="14"/>
      <c r="K32" s="14"/>
      <c r="L32" s="14" t="s">
        <v>192</v>
      </c>
      <c r="M32" s="113"/>
      <c r="N32" s="130"/>
      <c r="O32" s="131">
        <v>0</v>
      </c>
      <c r="P32" s="131">
        <f>COUNTA(Tab_Industry[[#This Row],[Investment]])</f>
        <v>0</v>
      </c>
      <c r="Q32" s="131">
        <f>COUNTA(Tab_Industry[[#This Row],[Lead department]])</f>
        <v>0</v>
      </c>
      <c r="R32" s="131">
        <f>COUNTA(Tab_Industry[[#This Row],[Spec target / outcome]])</f>
        <v>0</v>
      </c>
      <c r="S32" s="131">
        <f>COUNTA(Tab_Industry[[#This Row],[Obligations]])</f>
        <v>0</v>
      </c>
      <c r="T32" s="131">
        <f t="shared" si="0"/>
        <v>0</v>
      </c>
      <c r="U32" s="131">
        <f t="shared" si="1"/>
        <v>0</v>
      </c>
      <c r="V32" s="8">
        <f>IF(Tab_Industry[[#This Row],[Energy demand focus]]="Y",Tab_Industry[[#This Row],[Category]],0)</f>
        <v>0</v>
      </c>
      <c r="W32" s="8">
        <f>IF(Tab_Industry[[#This Row],[Energy demand focus]]="Y",Tab_Industry[[#This Row],[Investment]],0)</f>
        <v>0</v>
      </c>
      <c r="X32" s="8">
        <f>IF(Tab_Industry[[#This Row],[Energy demand focus]]="N",Tab_Industry[[#This Row],[Investment]],0)</f>
        <v>0</v>
      </c>
    </row>
    <row r="33" spans="1:26" x14ac:dyDescent="0.25">
      <c r="A33" s="14">
        <v>68</v>
      </c>
      <c r="B33" s="14"/>
      <c r="C33" s="112" t="s">
        <v>694</v>
      </c>
      <c r="D33" s="15" t="s">
        <v>128</v>
      </c>
      <c r="E33" s="15" t="s">
        <v>14</v>
      </c>
      <c r="F33" s="15" t="s">
        <v>14</v>
      </c>
      <c r="G33" s="15"/>
      <c r="H33" s="15"/>
      <c r="I33" s="14"/>
      <c r="J33" s="14"/>
      <c r="K33" s="14"/>
      <c r="L33" s="14" t="s">
        <v>67</v>
      </c>
      <c r="M33" s="113"/>
      <c r="N33" s="36"/>
      <c r="O33" s="131">
        <v>0</v>
      </c>
      <c r="P33" s="131">
        <f>COUNTA(Tab_Industry[[#This Row],[Investment]])</f>
        <v>0</v>
      </c>
      <c r="Q33" s="131">
        <f>COUNTA(Tab_Industry[[#This Row],[Lead department]])</f>
        <v>0</v>
      </c>
      <c r="R33" s="131">
        <f>COUNTA(Tab_Industry[[#This Row],[Spec target / outcome]])</f>
        <v>0</v>
      </c>
      <c r="S33" s="131">
        <f>COUNTA(Tab_Industry[[#This Row],[Obligations]])</f>
        <v>0</v>
      </c>
      <c r="T33" s="131">
        <f t="shared" si="0"/>
        <v>0</v>
      </c>
      <c r="U33" s="131">
        <f t="shared" si="1"/>
        <v>1</v>
      </c>
      <c r="V33" s="8">
        <f>IF(Tab_Industry[[#This Row],[Energy demand focus]]="Y",Tab_Industry[[#This Row],[Category]],0)</f>
        <v>0</v>
      </c>
      <c r="W33" s="8">
        <f>IF(Tab_Industry[[#This Row],[Energy demand focus]]="Y",Tab_Industry[[#This Row],[Investment]],0)</f>
        <v>0</v>
      </c>
      <c r="X33" s="8">
        <f>IF(Tab_Industry[[#This Row],[Energy demand focus]]="N",Tab_Industry[[#This Row],[Investment]],0)</f>
        <v>0</v>
      </c>
    </row>
    <row r="34" spans="1:26" ht="45" x14ac:dyDescent="0.25">
      <c r="A34" s="14">
        <v>68</v>
      </c>
      <c r="B34" s="14"/>
      <c r="C34" s="112" t="s">
        <v>694</v>
      </c>
      <c r="D34" s="15" t="s">
        <v>591</v>
      </c>
      <c r="E34" s="15" t="s">
        <v>19</v>
      </c>
      <c r="F34" s="15" t="s">
        <v>19</v>
      </c>
      <c r="G34" s="15"/>
      <c r="H34" s="15"/>
      <c r="I34" s="14"/>
      <c r="J34" s="14"/>
      <c r="K34" s="14"/>
      <c r="L34" s="14" t="s">
        <v>67</v>
      </c>
      <c r="M34" s="113"/>
      <c r="N34" s="36"/>
      <c r="O34" s="131">
        <v>0</v>
      </c>
      <c r="P34" s="131">
        <f>COUNTA(Tab_Industry[[#This Row],[Investment]])</f>
        <v>0</v>
      </c>
      <c r="Q34" s="131">
        <f>COUNTA(Tab_Industry[[#This Row],[Lead department]])</f>
        <v>0</v>
      </c>
      <c r="R34" s="131">
        <f>COUNTA(Tab_Industry[[#This Row],[Spec target / outcome]])</f>
        <v>0</v>
      </c>
      <c r="S34" s="131">
        <f>COUNTA(Tab_Industry[[#This Row],[Obligations]])</f>
        <v>0</v>
      </c>
      <c r="T34" s="131">
        <f t="shared" si="0"/>
        <v>0</v>
      </c>
      <c r="U34" s="131">
        <f t="shared" si="1"/>
        <v>1</v>
      </c>
      <c r="V34" s="8">
        <f>IF(Tab_Industry[[#This Row],[Energy demand focus]]="Y",Tab_Industry[[#This Row],[Category]],0)</f>
        <v>0</v>
      </c>
      <c r="W34" s="8">
        <f>IF(Tab_Industry[[#This Row],[Energy demand focus]]="Y",Tab_Industry[[#This Row],[Investment]],0)</f>
        <v>0</v>
      </c>
      <c r="X34" s="8">
        <f>IF(Tab_Industry[[#This Row],[Energy demand focus]]="N",Tab_Industry[[#This Row],[Investment]],0)</f>
        <v>0</v>
      </c>
    </row>
    <row r="35" spans="1:26" ht="30" x14ac:dyDescent="0.25">
      <c r="A35" s="16">
        <v>69</v>
      </c>
      <c r="B35" s="16"/>
      <c r="C35" s="112" t="s">
        <v>694</v>
      </c>
      <c r="D35" s="17" t="s">
        <v>129</v>
      </c>
      <c r="E35" s="17" t="s">
        <v>130</v>
      </c>
      <c r="F35" s="17" t="s">
        <v>130</v>
      </c>
      <c r="G35" s="17"/>
      <c r="H35" s="17" t="s">
        <v>131</v>
      </c>
      <c r="I35" s="16"/>
      <c r="J35" s="16"/>
      <c r="K35" s="16"/>
      <c r="L35" s="16" t="s">
        <v>67</v>
      </c>
      <c r="M35" s="114"/>
      <c r="N35" s="37" t="s">
        <v>728</v>
      </c>
      <c r="O35" s="131">
        <v>0</v>
      </c>
      <c r="P35" s="131">
        <f>COUNTA(Tab_Industry[[#This Row],[Investment]])</f>
        <v>1</v>
      </c>
      <c r="Q35" s="131">
        <f>COUNTA(Tab_Industry[[#This Row],[Lead department]])</f>
        <v>0</v>
      </c>
      <c r="R35" s="131">
        <f>COUNTA(Tab_Industry[[#This Row],[Spec target / outcome]])</f>
        <v>0</v>
      </c>
      <c r="S35" s="131">
        <f>COUNTA(Tab_Industry[[#This Row],[Obligations]])</f>
        <v>0</v>
      </c>
      <c r="T35" s="131">
        <f t="shared" si="0"/>
        <v>0</v>
      </c>
      <c r="U35" s="131">
        <f t="shared" si="1"/>
        <v>1</v>
      </c>
      <c r="V35" s="8">
        <f>IF(Tab_Industry[[#This Row],[Energy demand focus]]="Y",Tab_Industry[[#This Row],[Category]],0)</f>
        <v>0</v>
      </c>
      <c r="W35" s="8">
        <f>IF(Tab_Industry[[#This Row],[Energy demand focus]]="Y",Tab_Industry[[#This Row],[Investment]],0)</f>
        <v>0</v>
      </c>
      <c r="X35" s="8" t="str">
        <f>IF(Tab_Industry[[#This Row],[Energy demand focus]]="N",Tab_Industry[[#This Row],[Investment]],0)</f>
        <v>£100 million</v>
      </c>
    </row>
    <row r="36" spans="1:26" x14ac:dyDescent="0.25">
      <c r="O36" s="315" t="s">
        <v>826</v>
      </c>
      <c r="P36" s="315"/>
      <c r="Q36" s="315"/>
      <c r="R36" s="315"/>
      <c r="S36" s="315"/>
      <c r="T36" s="315"/>
      <c r="U36" s="315"/>
      <c r="V36" s="315"/>
      <c r="W36" s="315" t="s">
        <v>825</v>
      </c>
      <c r="X36" s="315"/>
      <c r="Z36" s="1"/>
    </row>
    <row r="37" spans="1:26" x14ac:dyDescent="0.25">
      <c r="O37" s="104">
        <f>SUM(Tab_Industry[Time])</f>
        <v>17</v>
      </c>
      <c r="P37" s="104">
        <f>SUM(Tab_Industry[Inv])</f>
        <v>4</v>
      </c>
      <c r="Q37" s="104">
        <f>SUM(Tab_Industry[Dep])</f>
        <v>13</v>
      </c>
      <c r="R37" s="104">
        <f>SUM(Tab_Industry[Targ])</f>
        <v>12</v>
      </c>
      <c r="S37" s="104">
        <f>SUM(Tab_Industry[Obl])</f>
        <v>11</v>
      </c>
      <c r="T37" s="104">
        <f>SUM(Tab_Industry[Dem-yes])</f>
        <v>13</v>
      </c>
      <c r="U37" s="104">
        <f>SUM(Tab_Industry[Dem-no])</f>
        <v>8</v>
      </c>
      <c r="V37" s="315"/>
      <c r="W37" s="315"/>
      <c r="Z37" s="136"/>
    </row>
    <row r="38" spans="1:26" ht="15" customHeight="1" x14ac:dyDescent="0.25">
      <c r="A38" s="18"/>
      <c r="B38" s="18"/>
      <c r="C38" s="38"/>
      <c r="D38" s="19"/>
      <c r="E38" s="18"/>
      <c r="F38" s="19"/>
      <c r="G38" s="19"/>
      <c r="H38" s="18"/>
      <c r="I38" s="38"/>
      <c r="J38" s="23"/>
      <c r="Y38" s="268"/>
    </row>
    <row r="39" spans="1:26" x14ac:dyDescent="0.25">
      <c r="A39" s="18"/>
      <c r="B39" s="18"/>
      <c r="C39" s="38"/>
      <c r="D39" s="19"/>
      <c r="E39" s="18"/>
      <c r="F39" s="19"/>
      <c r="G39" s="19"/>
      <c r="H39" s="18"/>
      <c r="I39" s="38"/>
      <c r="J39" s="23"/>
      <c r="P39" s="22"/>
      <c r="Q39" s="105"/>
      <c r="R39" s="105"/>
      <c r="S39" s="105"/>
      <c r="T39" s="21"/>
    </row>
    <row r="40" spans="1:26" ht="21" x14ac:dyDescent="0.35">
      <c r="A40" s="58" t="s">
        <v>132</v>
      </c>
      <c r="P40" s="22"/>
      <c r="Q40" s="105"/>
      <c r="R40" s="105"/>
      <c r="S40" s="105"/>
      <c r="T40" s="21"/>
    </row>
    <row r="41" spans="1:26" ht="18.75" x14ac:dyDescent="0.3">
      <c r="A41" s="59" t="s">
        <v>755</v>
      </c>
      <c r="B41" s="53"/>
      <c r="C41" s="56"/>
      <c r="D41" s="20"/>
      <c r="E41" s="53"/>
      <c r="F41" s="20"/>
      <c r="G41" s="20"/>
      <c r="H41" s="53"/>
      <c r="I41" s="56"/>
      <c r="P41" s="22"/>
      <c r="Q41" s="105"/>
      <c r="R41" s="105"/>
      <c r="S41" s="105"/>
      <c r="T41" s="21"/>
    </row>
    <row r="42" spans="1:26" ht="18.75" x14ac:dyDescent="0.3">
      <c r="A42" s="53"/>
      <c r="B42" s="57"/>
      <c r="C42" s="56"/>
      <c r="D42" s="20"/>
      <c r="E42" s="53"/>
      <c r="F42" s="20"/>
      <c r="G42" s="20"/>
      <c r="H42" s="53"/>
      <c r="I42" s="56"/>
      <c r="J42" s="56"/>
      <c r="M42" s="103"/>
      <c r="P42" s="104"/>
      <c r="Q42" s="104"/>
      <c r="R42" s="104"/>
      <c r="S42" s="104"/>
      <c r="T42" s="96"/>
    </row>
    <row r="43" spans="1:26" s="108" customFormat="1" ht="45" x14ac:dyDescent="0.25">
      <c r="A43" s="27" t="s">
        <v>2</v>
      </c>
      <c r="B43" s="27" t="s">
        <v>85</v>
      </c>
      <c r="C43" s="39" t="s">
        <v>681</v>
      </c>
      <c r="D43" s="28" t="s">
        <v>7</v>
      </c>
      <c r="E43" s="28" t="s">
        <v>8</v>
      </c>
      <c r="F43" s="28" t="s">
        <v>713</v>
      </c>
      <c r="G43" s="28" t="s">
        <v>4</v>
      </c>
      <c r="H43" s="28" t="s">
        <v>1</v>
      </c>
      <c r="I43" s="27" t="s">
        <v>558</v>
      </c>
      <c r="J43" s="27" t="s">
        <v>714</v>
      </c>
      <c r="K43" s="27" t="s">
        <v>709</v>
      </c>
      <c r="L43" s="27" t="s">
        <v>66</v>
      </c>
      <c r="M43" s="27" t="s">
        <v>157</v>
      </c>
      <c r="N43" s="39" t="s">
        <v>3</v>
      </c>
      <c r="O43" s="39" t="s">
        <v>704</v>
      </c>
      <c r="P43" s="39" t="s">
        <v>705</v>
      </c>
      <c r="Q43" s="39" t="s">
        <v>706</v>
      </c>
      <c r="R43" s="39" t="s">
        <v>710</v>
      </c>
      <c r="S43" s="39" t="s">
        <v>711</v>
      </c>
      <c r="T43" s="39" t="s">
        <v>707</v>
      </c>
      <c r="U43" s="39" t="s">
        <v>708</v>
      </c>
      <c r="V43" s="28" t="s">
        <v>797</v>
      </c>
      <c r="W43" s="28" t="s">
        <v>860</v>
      </c>
      <c r="X43" s="28" t="s">
        <v>861</v>
      </c>
    </row>
    <row r="44" spans="1:26" ht="30" x14ac:dyDescent="0.25">
      <c r="A44" s="24">
        <v>77</v>
      </c>
      <c r="B44" s="24" t="s">
        <v>140</v>
      </c>
      <c r="C44" s="38" t="s">
        <v>702</v>
      </c>
      <c r="D44" s="25" t="s">
        <v>594</v>
      </c>
      <c r="E44" s="17" t="s">
        <v>137</v>
      </c>
      <c r="F44" s="19" t="s">
        <v>1</v>
      </c>
      <c r="G44" s="25" t="s">
        <v>139</v>
      </c>
      <c r="H44" s="25" t="s">
        <v>138</v>
      </c>
      <c r="I44" s="24"/>
      <c r="J44" s="24" t="s">
        <v>734</v>
      </c>
      <c r="K44" s="24" t="s">
        <v>737</v>
      </c>
      <c r="L44" s="24" t="s">
        <v>84</v>
      </c>
      <c r="M44" s="24"/>
      <c r="N44" s="40"/>
      <c r="O44" s="131">
        <v>1</v>
      </c>
      <c r="P44" s="131">
        <f>COUNTA(Tab_Homes[[#This Row],[Investment]])</f>
        <v>1</v>
      </c>
      <c r="Q44" s="131">
        <f>COUNTA(Tab_Homes[[#This Row],[Lead department]])</f>
        <v>0</v>
      </c>
      <c r="R44" s="131">
        <f>COUNTA(Tab_Homes[[#This Row],[Spec target / outcomes]])</f>
        <v>1</v>
      </c>
      <c r="S44" s="131">
        <f>COUNTA(Tab_Homes[[#This Row],[Obligations]])</f>
        <v>1</v>
      </c>
      <c r="T44" s="132">
        <f t="shared" ref="T44:T83" si="2">COUNTIF(L44,"=Y")</f>
        <v>1</v>
      </c>
      <c r="U44" s="132">
        <f t="shared" ref="U44:U83" si="3">COUNTIF(L44,"=N")</f>
        <v>0</v>
      </c>
      <c r="V44" s="269" t="str">
        <f>IF(Tab_Homes[[#This Row],[Energy demand focus]]="Y",Tab_Homes[[#This Row],[Category]],0)</f>
        <v>Investment</v>
      </c>
      <c r="W44" s="269" t="str">
        <f>IF(Tab_Homes[[#This Row],[Energy demand focus]]="Y",Tab_Homes[[#This Row],[Investment]],0)</f>
        <v>£3.6 billion</v>
      </c>
      <c r="X44" s="269">
        <f>IF(Tab_Homes[[#This Row],[Energy demand focus]]="N",Tab_Homes[[#This Row],[Investment]],0)</f>
        <v>0</v>
      </c>
    </row>
    <row r="45" spans="1:26" ht="30" x14ac:dyDescent="0.25">
      <c r="A45" s="24">
        <v>77</v>
      </c>
      <c r="B45" s="24" t="s">
        <v>141</v>
      </c>
      <c r="C45" s="38" t="s">
        <v>702</v>
      </c>
      <c r="D45" s="25" t="s">
        <v>143</v>
      </c>
      <c r="E45" s="25" t="s">
        <v>142</v>
      </c>
      <c r="F45" s="25" t="s">
        <v>19</v>
      </c>
      <c r="G45" s="25" t="s">
        <v>451</v>
      </c>
      <c r="H45" s="25"/>
      <c r="I45" s="24"/>
      <c r="J45" s="24"/>
      <c r="K45" s="24"/>
      <c r="L45" s="24" t="s">
        <v>84</v>
      </c>
      <c r="M45" s="24"/>
      <c r="N45" s="40"/>
      <c r="O45" s="131">
        <v>1</v>
      </c>
      <c r="P45" s="131">
        <f>COUNTA(Tab_Homes[[#This Row],[Investment]])</f>
        <v>0</v>
      </c>
      <c r="Q45" s="131">
        <f>COUNTA(Tab_Homes[[#This Row],[Lead department]])</f>
        <v>0</v>
      </c>
      <c r="R45" s="131">
        <f>COUNTA(Tab_Homes[[#This Row],[Spec target / outcomes]])</f>
        <v>0</v>
      </c>
      <c r="S45" s="131">
        <f>COUNTA(Tab_Homes[[#This Row],[Obligations]])</f>
        <v>0</v>
      </c>
      <c r="T45" s="132">
        <f t="shared" si="2"/>
        <v>1</v>
      </c>
      <c r="U45" s="132">
        <f t="shared" si="3"/>
        <v>0</v>
      </c>
      <c r="V45" s="269" t="str">
        <f>IF(Tab_Homes[[#This Row],[Energy demand focus]]="Y",Tab_Homes[[#This Row],[Category]],0)</f>
        <v>Information</v>
      </c>
      <c r="W45" s="269">
        <f>IF(Tab_Homes[[#This Row],[Energy demand focus]]="Y",Tab_Homes[[#This Row],[Investment]],0)</f>
        <v>0</v>
      </c>
      <c r="X45" s="269">
        <f>IF(Tab_Homes[[#This Row],[Energy demand focus]]="N",Tab_Homes[[#This Row],[Investment]],0)</f>
        <v>0</v>
      </c>
    </row>
    <row r="46" spans="1:26" ht="45" x14ac:dyDescent="0.25">
      <c r="A46" s="24">
        <v>77</v>
      </c>
      <c r="B46" s="24">
        <v>2</v>
      </c>
      <c r="C46" s="38" t="s">
        <v>702</v>
      </c>
      <c r="D46" s="25" t="s">
        <v>144</v>
      </c>
      <c r="E46" s="25" t="s">
        <v>146</v>
      </c>
      <c r="F46" s="25" t="s">
        <v>785</v>
      </c>
      <c r="G46" s="25" t="s">
        <v>145</v>
      </c>
      <c r="H46" s="25"/>
      <c r="I46" s="24"/>
      <c r="J46" s="24" t="s">
        <v>735</v>
      </c>
      <c r="K46" s="24" t="s">
        <v>729</v>
      </c>
      <c r="L46" s="24" t="s">
        <v>84</v>
      </c>
      <c r="M46" s="24" t="s">
        <v>574</v>
      </c>
      <c r="N46" s="40"/>
      <c r="O46" s="131">
        <v>1</v>
      </c>
      <c r="P46" s="131">
        <f>COUNTA(Tab_Homes[[#This Row],[Investment]])</f>
        <v>0</v>
      </c>
      <c r="Q46" s="131">
        <f>COUNTA(Tab_Homes[[#This Row],[Lead department]])</f>
        <v>0</v>
      </c>
      <c r="R46" s="131">
        <f>COUNTA(Tab_Homes[[#This Row],[Spec target / outcomes]])</f>
        <v>1</v>
      </c>
      <c r="S46" s="131">
        <f>COUNTA(Tab_Homes[[#This Row],[Obligations]])</f>
        <v>1</v>
      </c>
      <c r="T46" s="132">
        <f t="shared" si="2"/>
        <v>1</v>
      </c>
      <c r="U46" s="132">
        <f t="shared" si="3"/>
        <v>0</v>
      </c>
      <c r="V46" s="269" t="str">
        <f>IF(Tab_Homes[[#This Row],[Energy demand focus]]="Y",Tab_Homes[[#This Row],[Category]],0)</f>
        <v>Regulatory</v>
      </c>
      <c r="W46" s="269">
        <f>IF(Tab_Homes[[#This Row],[Energy demand focus]]="Y",Tab_Homes[[#This Row],[Investment]],0)</f>
        <v>0</v>
      </c>
      <c r="X46" s="269">
        <f>IF(Tab_Homes[[#This Row],[Energy demand focus]]="N",Tab_Homes[[#This Row],[Investment]],0)</f>
        <v>0</v>
      </c>
    </row>
    <row r="47" spans="1:26" ht="45" x14ac:dyDescent="0.25">
      <c r="A47" s="24">
        <v>77</v>
      </c>
      <c r="B47" s="24" t="s">
        <v>88</v>
      </c>
      <c r="C47" s="38" t="s">
        <v>702</v>
      </c>
      <c r="D47" s="25" t="s">
        <v>152</v>
      </c>
      <c r="E47" s="25" t="s">
        <v>798</v>
      </c>
      <c r="F47" s="25" t="s">
        <v>786</v>
      </c>
      <c r="G47" s="25" t="s">
        <v>147</v>
      </c>
      <c r="H47" s="25"/>
      <c r="I47" s="24" t="s">
        <v>577</v>
      </c>
      <c r="J47" s="24" t="s">
        <v>718</v>
      </c>
      <c r="K47" s="24" t="s">
        <v>729</v>
      </c>
      <c r="L47" s="24" t="s">
        <v>84</v>
      </c>
      <c r="M47" s="24" t="s">
        <v>575</v>
      </c>
      <c r="N47" s="40" t="s">
        <v>86</v>
      </c>
      <c r="O47" s="131">
        <v>1</v>
      </c>
      <c r="P47" s="131">
        <f>COUNTA(Tab_Homes[[#This Row],[Investment]])</f>
        <v>0</v>
      </c>
      <c r="Q47" s="131">
        <f>COUNTA(Tab_Homes[[#This Row],[Lead department]])</f>
        <v>1</v>
      </c>
      <c r="R47" s="131">
        <f>COUNTA(Tab_Homes[[#This Row],[Spec target / outcomes]])</f>
        <v>1</v>
      </c>
      <c r="S47" s="131">
        <f>COUNTA(Tab_Homes[[#This Row],[Obligations]])</f>
        <v>1</v>
      </c>
      <c r="T47" s="132">
        <f t="shared" si="2"/>
        <v>1</v>
      </c>
      <c r="U47" s="132">
        <f t="shared" si="3"/>
        <v>0</v>
      </c>
      <c r="V47" s="269" t="str">
        <f>IF(Tab_Homes[[#This Row],[Energy demand focus]]="Y",Tab_Homes[[#This Row],[Category]],0)</f>
        <v>Other</v>
      </c>
      <c r="W47" s="269">
        <f>IF(Tab_Homes[[#This Row],[Energy demand focus]]="Y",Tab_Homes[[#This Row],[Investment]],0)</f>
        <v>0</v>
      </c>
      <c r="X47" s="269">
        <f>IF(Tab_Homes[[#This Row],[Energy demand focus]]="N",Tab_Homes[[#This Row],[Investment]],0)</f>
        <v>0</v>
      </c>
    </row>
    <row r="48" spans="1:26" ht="60" x14ac:dyDescent="0.25">
      <c r="A48" s="24">
        <v>77</v>
      </c>
      <c r="B48" s="24" t="s">
        <v>90</v>
      </c>
      <c r="C48" s="38" t="s">
        <v>702</v>
      </c>
      <c r="D48" s="25" t="s">
        <v>153</v>
      </c>
      <c r="E48" s="25" t="s">
        <v>798</v>
      </c>
      <c r="F48" s="25" t="s">
        <v>786</v>
      </c>
      <c r="G48" s="25" t="s">
        <v>147</v>
      </c>
      <c r="H48" s="25"/>
      <c r="I48" s="24" t="s">
        <v>577</v>
      </c>
      <c r="J48" s="24" t="s">
        <v>718</v>
      </c>
      <c r="K48" s="24" t="s">
        <v>729</v>
      </c>
      <c r="L48" s="24" t="s">
        <v>84</v>
      </c>
      <c r="M48" s="24" t="s">
        <v>149</v>
      </c>
      <c r="N48" s="40" t="s">
        <v>86</v>
      </c>
      <c r="O48" s="131">
        <v>1</v>
      </c>
      <c r="P48" s="131">
        <f>COUNTA(Tab_Homes[[#This Row],[Investment]])</f>
        <v>0</v>
      </c>
      <c r="Q48" s="131">
        <f>COUNTA(Tab_Homes[[#This Row],[Lead department]])</f>
        <v>1</v>
      </c>
      <c r="R48" s="131">
        <f>COUNTA(Tab_Homes[[#This Row],[Spec target / outcomes]])</f>
        <v>1</v>
      </c>
      <c r="S48" s="131">
        <f>COUNTA(Tab_Homes[[#This Row],[Obligations]])</f>
        <v>1</v>
      </c>
      <c r="T48" s="132">
        <f t="shared" si="2"/>
        <v>1</v>
      </c>
      <c r="U48" s="132">
        <f t="shared" si="3"/>
        <v>0</v>
      </c>
      <c r="V48" s="269" t="str">
        <f>IF(Tab_Homes[[#This Row],[Energy demand focus]]="Y",Tab_Homes[[#This Row],[Category]],0)</f>
        <v>Other</v>
      </c>
      <c r="W48" s="269">
        <f>IF(Tab_Homes[[#This Row],[Energy demand focus]]="Y",Tab_Homes[[#This Row],[Investment]],0)</f>
        <v>0</v>
      </c>
      <c r="X48" s="269">
        <f>IF(Tab_Homes[[#This Row],[Energy demand focus]]="N",Tab_Homes[[#This Row],[Investment]],0)</f>
        <v>0</v>
      </c>
    </row>
    <row r="49" spans="1:24" s="3" customFormat="1" ht="30" x14ac:dyDescent="0.25">
      <c r="A49" s="44">
        <v>77</v>
      </c>
      <c r="B49" s="44" t="s">
        <v>149</v>
      </c>
      <c r="C49" s="38" t="s">
        <v>702</v>
      </c>
      <c r="D49" s="45" t="s">
        <v>148</v>
      </c>
      <c r="E49" s="45" t="s">
        <v>798</v>
      </c>
      <c r="F49" s="45" t="s">
        <v>786</v>
      </c>
      <c r="G49" s="45"/>
      <c r="H49" s="45"/>
      <c r="I49" s="24"/>
      <c r="J49" s="24" t="s">
        <v>736</v>
      </c>
      <c r="K49" s="24" t="s">
        <v>729</v>
      </c>
      <c r="L49" s="44" t="s">
        <v>84</v>
      </c>
      <c r="M49" s="44" t="s">
        <v>90</v>
      </c>
      <c r="N49" s="46" t="s">
        <v>86</v>
      </c>
      <c r="O49" s="131">
        <v>0</v>
      </c>
      <c r="P49" s="131">
        <f>COUNTA(Tab_Homes[[#This Row],[Investment]])</f>
        <v>0</v>
      </c>
      <c r="Q49" s="131">
        <f>COUNTA(Tab_Homes[[#This Row],[Lead department]])</f>
        <v>0</v>
      </c>
      <c r="R49" s="131">
        <f>COUNTA(Tab_Homes[[#This Row],[Spec target / outcomes]])</f>
        <v>1</v>
      </c>
      <c r="S49" s="131">
        <f>COUNTA(Tab_Homes[[#This Row],[Obligations]])</f>
        <v>1</v>
      </c>
      <c r="T49" s="132">
        <f t="shared" si="2"/>
        <v>1</v>
      </c>
      <c r="U49" s="132">
        <f t="shared" si="3"/>
        <v>0</v>
      </c>
      <c r="V49" s="269" t="str">
        <f>IF(Tab_Homes[[#This Row],[Energy demand focus]]="Y",Tab_Homes[[#This Row],[Category]],0)</f>
        <v>Other</v>
      </c>
      <c r="W49" s="269">
        <f>IF(Tab_Homes[[#This Row],[Energy demand focus]]="Y",Tab_Homes[[#This Row],[Investment]],0)</f>
        <v>0</v>
      </c>
      <c r="X49" s="269">
        <f>IF(Tab_Homes[[#This Row],[Energy demand focus]]="N",Tab_Homes[[#This Row],[Investment]],0)</f>
        <v>0</v>
      </c>
    </row>
    <row r="50" spans="1:24" s="1" customFormat="1" ht="30" x14ac:dyDescent="0.25">
      <c r="A50" s="24">
        <v>77</v>
      </c>
      <c r="B50" s="24" t="s">
        <v>150</v>
      </c>
      <c r="C50" s="38" t="s">
        <v>702</v>
      </c>
      <c r="D50" s="25" t="s">
        <v>151</v>
      </c>
      <c r="E50" s="25" t="s">
        <v>798</v>
      </c>
      <c r="F50" s="25" t="s">
        <v>786</v>
      </c>
      <c r="G50" s="25"/>
      <c r="H50" s="25"/>
      <c r="I50" s="24"/>
      <c r="J50" s="24" t="s">
        <v>718</v>
      </c>
      <c r="K50" s="24" t="s">
        <v>729</v>
      </c>
      <c r="L50" s="24" t="s">
        <v>84</v>
      </c>
      <c r="M50" s="24" t="s">
        <v>88</v>
      </c>
      <c r="N50" s="40" t="s">
        <v>86</v>
      </c>
      <c r="O50" s="131">
        <v>0</v>
      </c>
      <c r="P50" s="131">
        <f>COUNTA(Tab_Homes[[#This Row],[Investment]])</f>
        <v>0</v>
      </c>
      <c r="Q50" s="131">
        <f>COUNTA(Tab_Homes[[#This Row],[Lead department]])</f>
        <v>0</v>
      </c>
      <c r="R50" s="131">
        <f>COUNTA(Tab_Homes[[#This Row],[Spec target / outcomes]])</f>
        <v>1</v>
      </c>
      <c r="S50" s="131">
        <f>COUNTA(Tab_Homes[[#This Row],[Obligations]])</f>
        <v>1</v>
      </c>
      <c r="T50" s="132">
        <f t="shared" si="2"/>
        <v>1</v>
      </c>
      <c r="U50" s="132">
        <f t="shared" si="3"/>
        <v>0</v>
      </c>
      <c r="V50" s="269" t="str">
        <f>IF(Tab_Homes[[#This Row],[Energy demand focus]]="Y",Tab_Homes[[#This Row],[Category]],0)</f>
        <v>Other</v>
      </c>
      <c r="W50" s="269">
        <f>IF(Tab_Homes[[#This Row],[Energy demand focus]]="Y",Tab_Homes[[#This Row],[Investment]],0)</f>
        <v>0</v>
      </c>
      <c r="X50" s="269">
        <f>IF(Tab_Homes[[#This Row],[Energy demand focus]]="N",Tab_Homes[[#This Row],[Investment]],0)</f>
        <v>0</v>
      </c>
    </row>
    <row r="51" spans="1:24" s="1" customFormat="1" ht="60" x14ac:dyDescent="0.25">
      <c r="A51" s="24">
        <v>77</v>
      </c>
      <c r="B51" s="24">
        <v>5</v>
      </c>
      <c r="C51" s="38" t="s">
        <v>702</v>
      </c>
      <c r="D51" s="25" t="s">
        <v>453</v>
      </c>
      <c r="E51" s="25" t="s">
        <v>455</v>
      </c>
      <c r="F51" s="25" t="s">
        <v>512</v>
      </c>
      <c r="G51" s="25" t="s">
        <v>454</v>
      </c>
      <c r="H51" s="25"/>
      <c r="I51" s="24" t="s">
        <v>592</v>
      </c>
      <c r="J51" s="24" t="s">
        <v>842</v>
      </c>
      <c r="K51" s="24"/>
      <c r="L51" s="24" t="s">
        <v>84</v>
      </c>
      <c r="M51" s="24"/>
      <c r="N51" s="40" t="s">
        <v>848</v>
      </c>
      <c r="O51" s="131">
        <v>1</v>
      </c>
      <c r="P51" s="131">
        <f>COUNTA(Tab_Homes[[#This Row],[Investment]])</f>
        <v>0</v>
      </c>
      <c r="Q51" s="131">
        <f>COUNTA(Tab_Homes[[#This Row],[Lead department]])</f>
        <v>1</v>
      </c>
      <c r="R51" s="131">
        <f>COUNTA(Tab_Homes[[#This Row],[Spec target / outcomes]])</f>
        <v>1</v>
      </c>
      <c r="S51" s="131">
        <f>COUNTA(Tab_Homes[[#This Row],[Obligations]])</f>
        <v>0</v>
      </c>
      <c r="T51" s="132">
        <f t="shared" si="2"/>
        <v>1</v>
      </c>
      <c r="U51" s="132">
        <f t="shared" si="3"/>
        <v>0</v>
      </c>
      <c r="V51" s="269" t="str">
        <f>IF(Tab_Homes[[#This Row],[Energy demand focus]]="Y",Tab_Homes[[#This Row],[Category]],0)</f>
        <v>Market</v>
      </c>
      <c r="W51" s="269">
        <f>IF(Tab_Homes[[#This Row],[Energy demand focus]]="Y",Tab_Homes[[#This Row],[Investment]],0)</f>
        <v>0</v>
      </c>
      <c r="X51" s="269">
        <f>IF(Tab_Homes[[#This Row],[Energy demand focus]]="N",Tab_Homes[[#This Row],[Investment]],0)</f>
        <v>0</v>
      </c>
    </row>
    <row r="52" spans="1:24" s="1" customFormat="1" ht="45" x14ac:dyDescent="0.25">
      <c r="A52" s="24">
        <v>78</v>
      </c>
      <c r="B52" s="24">
        <v>6</v>
      </c>
      <c r="C52" s="38" t="s">
        <v>702</v>
      </c>
      <c r="D52" s="25" t="s">
        <v>913</v>
      </c>
      <c r="E52" s="25" t="s">
        <v>130</v>
      </c>
      <c r="F52" s="25" t="s">
        <v>130</v>
      </c>
      <c r="G52" s="25" t="s">
        <v>460</v>
      </c>
      <c r="H52" s="25"/>
      <c r="I52" s="24" t="s">
        <v>559</v>
      </c>
      <c r="J52" s="24"/>
      <c r="K52" s="24"/>
      <c r="L52" s="24" t="s">
        <v>84</v>
      </c>
      <c r="M52" s="24"/>
      <c r="N52" s="40" t="s">
        <v>828</v>
      </c>
      <c r="O52" s="131">
        <v>1</v>
      </c>
      <c r="P52" s="131">
        <f>COUNTA(Tab_Homes[[#This Row],[Investment]])</f>
        <v>0</v>
      </c>
      <c r="Q52" s="131">
        <f>COUNTA(Tab_Homes[[#This Row],[Lead department]])</f>
        <v>1</v>
      </c>
      <c r="R52" s="131">
        <f>COUNTA(Tab_Homes[[#This Row],[Spec target / outcomes]])</f>
        <v>0</v>
      </c>
      <c r="S52" s="131">
        <f>COUNTA(Tab_Homes[[#This Row],[Obligations]])</f>
        <v>0</v>
      </c>
      <c r="T52" s="132">
        <f t="shared" si="2"/>
        <v>1</v>
      </c>
      <c r="U52" s="132">
        <f t="shared" si="3"/>
        <v>0</v>
      </c>
      <c r="V52" s="269" t="str">
        <f>IF(Tab_Homes[[#This Row],[Energy demand focus]]="Y",Tab_Homes[[#This Row],[Category]],0)</f>
        <v>Various</v>
      </c>
      <c r="W52" s="269">
        <f>IF(Tab_Homes[[#This Row],[Energy demand focus]]="Y",Tab_Homes[[#This Row],[Investment]],0)</f>
        <v>0</v>
      </c>
      <c r="X52" s="269">
        <f>IF(Tab_Homes[[#This Row],[Energy demand focus]]="N",Tab_Homes[[#This Row],[Investment]],0)</f>
        <v>0</v>
      </c>
    </row>
    <row r="53" spans="1:24" s="1" customFormat="1" ht="45" x14ac:dyDescent="0.25">
      <c r="A53" s="24">
        <v>78</v>
      </c>
      <c r="B53" s="24">
        <v>7</v>
      </c>
      <c r="C53" s="38" t="s">
        <v>702</v>
      </c>
      <c r="D53" s="25" t="s">
        <v>156</v>
      </c>
      <c r="E53" s="25" t="s">
        <v>154</v>
      </c>
      <c r="F53" s="25" t="s">
        <v>19</v>
      </c>
      <c r="G53" s="25" t="s">
        <v>155</v>
      </c>
      <c r="H53" s="25"/>
      <c r="I53" s="24" t="s">
        <v>559</v>
      </c>
      <c r="J53" s="24" t="s">
        <v>84</v>
      </c>
      <c r="K53" s="24"/>
      <c r="L53" s="24" t="s">
        <v>84</v>
      </c>
      <c r="M53" s="24"/>
      <c r="N53" s="40"/>
      <c r="O53" s="131">
        <v>1</v>
      </c>
      <c r="P53" s="131">
        <f>COUNTA(Tab_Homes[[#This Row],[Investment]])</f>
        <v>0</v>
      </c>
      <c r="Q53" s="131">
        <f>COUNTA(Tab_Homes[[#This Row],[Lead department]])</f>
        <v>1</v>
      </c>
      <c r="R53" s="131">
        <f>COUNTA(Tab_Homes[[#This Row],[Spec target / outcomes]])</f>
        <v>1</v>
      </c>
      <c r="S53" s="131">
        <f>COUNTA(Tab_Homes[[#This Row],[Obligations]])</f>
        <v>0</v>
      </c>
      <c r="T53" s="132">
        <f t="shared" si="2"/>
        <v>1</v>
      </c>
      <c r="U53" s="132">
        <f t="shared" si="3"/>
        <v>0</v>
      </c>
      <c r="V53" s="269" t="str">
        <f>IF(Tab_Homes[[#This Row],[Energy demand focus]]="Y",Tab_Homes[[#This Row],[Category]],0)</f>
        <v>Information</v>
      </c>
      <c r="W53" s="269">
        <f>IF(Tab_Homes[[#This Row],[Energy demand focus]]="Y",Tab_Homes[[#This Row],[Investment]],0)</f>
        <v>0</v>
      </c>
      <c r="X53" s="269">
        <f>IF(Tab_Homes[[#This Row],[Energy demand focus]]="N",Tab_Homes[[#This Row],[Investment]],0)</f>
        <v>0</v>
      </c>
    </row>
    <row r="54" spans="1:24" s="1" customFormat="1" ht="60" x14ac:dyDescent="0.25">
      <c r="A54" s="44">
        <v>78</v>
      </c>
      <c r="B54" s="44">
        <v>8</v>
      </c>
      <c r="C54" s="38" t="s">
        <v>702</v>
      </c>
      <c r="D54" s="25" t="s">
        <v>459</v>
      </c>
      <c r="E54" s="25" t="s">
        <v>162</v>
      </c>
      <c r="F54" s="25" t="s">
        <v>785</v>
      </c>
      <c r="G54" s="25" t="s">
        <v>519</v>
      </c>
      <c r="H54" s="25"/>
      <c r="I54" s="24" t="s">
        <v>578</v>
      </c>
      <c r="J54" s="24" t="s">
        <v>718</v>
      </c>
      <c r="K54" s="24" t="s">
        <v>720</v>
      </c>
      <c r="L54" s="44" t="s">
        <v>84</v>
      </c>
      <c r="M54" s="24" t="s">
        <v>572</v>
      </c>
      <c r="N54" s="46"/>
      <c r="O54" s="131">
        <v>1</v>
      </c>
      <c r="P54" s="131">
        <f>COUNTA(Tab_Homes[[#This Row],[Investment]])</f>
        <v>0</v>
      </c>
      <c r="Q54" s="131">
        <f>COUNTA(Tab_Homes[[#This Row],[Lead department]])</f>
        <v>1</v>
      </c>
      <c r="R54" s="131">
        <f>COUNTA(Tab_Homes[[#This Row],[Spec target / outcomes]])</f>
        <v>1</v>
      </c>
      <c r="S54" s="131">
        <f>COUNTA(Tab_Homes[[#This Row],[Obligations]])</f>
        <v>1</v>
      </c>
      <c r="T54" s="132">
        <f t="shared" si="2"/>
        <v>1</v>
      </c>
      <c r="U54" s="132">
        <f t="shared" si="3"/>
        <v>0</v>
      </c>
      <c r="V54" s="269" t="str">
        <f>IF(Tab_Homes[[#This Row],[Energy demand focus]]="Y",Tab_Homes[[#This Row],[Category]],0)</f>
        <v>Regulatory</v>
      </c>
      <c r="W54" s="269">
        <f>IF(Tab_Homes[[#This Row],[Energy demand focus]]="Y",Tab_Homes[[#This Row],[Investment]],0)</f>
        <v>0</v>
      </c>
      <c r="X54" s="269">
        <f>IF(Tab_Homes[[#This Row],[Energy demand focus]]="N",Tab_Homes[[#This Row],[Investment]],0)</f>
        <v>0</v>
      </c>
    </row>
    <row r="55" spans="1:24" s="1" customFormat="1" ht="45" x14ac:dyDescent="0.25">
      <c r="A55" s="44">
        <v>78</v>
      </c>
      <c r="B55" s="44">
        <v>9</v>
      </c>
      <c r="C55" s="38" t="s">
        <v>702</v>
      </c>
      <c r="D55" s="25" t="s">
        <v>462</v>
      </c>
      <c r="E55" s="25" t="s">
        <v>463</v>
      </c>
      <c r="F55" s="25" t="s">
        <v>512</v>
      </c>
      <c r="G55" s="25" t="s">
        <v>461</v>
      </c>
      <c r="H55" s="25"/>
      <c r="I55" s="24" t="s">
        <v>559</v>
      </c>
      <c r="J55" s="24" t="s">
        <v>718</v>
      </c>
      <c r="K55" s="24"/>
      <c r="L55" s="44" t="s">
        <v>84</v>
      </c>
      <c r="M55" s="24"/>
      <c r="N55" s="46"/>
      <c r="O55" s="131">
        <v>1</v>
      </c>
      <c r="P55" s="131">
        <f>COUNTA(Tab_Homes[[#This Row],[Investment]])</f>
        <v>0</v>
      </c>
      <c r="Q55" s="131">
        <f>COUNTA(Tab_Homes[[#This Row],[Lead department]])</f>
        <v>1</v>
      </c>
      <c r="R55" s="131">
        <f>COUNTA(Tab_Homes[[#This Row],[Spec target / outcomes]])</f>
        <v>1</v>
      </c>
      <c r="S55" s="131">
        <f>COUNTA(Tab_Homes[[#This Row],[Obligations]])</f>
        <v>0</v>
      </c>
      <c r="T55" s="132">
        <f t="shared" si="2"/>
        <v>1</v>
      </c>
      <c r="U55" s="132">
        <f t="shared" si="3"/>
        <v>0</v>
      </c>
      <c r="V55" s="269" t="str">
        <f>IF(Tab_Homes[[#This Row],[Energy demand focus]]="Y",Tab_Homes[[#This Row],[Category]],0)</f>
        <v>Market</v>
      </c>
      <c r="W55" s="269">
        <f>IF(Tab_Homes[[#This Row],[Energy demand focus]]="Y",Tab_Homes[[#This Row],[Investment]],0)</f>
        <v>0</v>
      </c>
      <c r="X55" s="269">
        <f>IF(Tab_Homes[[#This Row],[Energy demand focus]]="N",Tab_Homes[[#This Row],[Investment]],0)</f>
        <v>0</v>
      </c>
    </row>
    <row r="56" spans="1:24" s="1" customFormat="1" ht="30" x14ac:dyDescent="0.25">
      <c r="A56" s="44">
        <v>78</v>
      </c>
      <c r="B56" s="44">
        <v>10</v>
      </c>
      <c r="C56" s="38" t="s">
        <v>702</v>
      </c>
      <c r="D56" s="25" t="s">
        <v>466</v>
      </c>
      <c r="E56" s="25" t="s">
        <v>464</v>
      </c>
      <c r="F56" s="25" t="s">
        <v>785</v>
      </c>
      <c r="G56" s="25" t="s">
        <v>465</v>
      </c>
      <c r="H56" s="25"/>
      <c r="I56" s="24" t="s">
        <v>577</v>
      </c>
      <c r="J56" s="24" t="s">
        <v>718</v>
      </c>
      <c r="K56" s="24" t="s">
        <v>720</v>
      </c>
      <c r="L56" s="44" t="s">
        <v>84</v>
      </c>
      <c r="M56" s="24"/>
      <c r="N56" s="46" t="s">
        <v>467</v>
      </c>
      <c r="O56" s="131">
        <v>1</v>
      </c>
      <c r="P56" s="131">
        <f>COUNTA(Tab_Homes[[#This Row],[Investment]])</f>
        <v>0</v>
      </c>
      <c r="Q56" s="131">
        <f>COUNTA(Tab_Homes[[#This Row],[Lead department]])</f>
        <v>1</v>
      </c>
      <c r="R56" s="131">
        <f>COUNTA(Tab_Homes[[#This Row],[Spec target / outcomes]])</f>
        <v>1</v>
      </c>
      <c r="S56" s="131">
        <f>COUNTA(Tab_Homes[[#This Row],[Obligations]])</f>
        <v>1</v>
      </c>
      <c r="T56" s="132">
        <f t="shared" si="2"/>
        <v>1</v>
      </c>
      <c r="U56" s="132">
        <f t="shared" si="3"/>
        <v>0</v>
      </c>
      <c r="V56" s="269" t="str">
        <f>IF(Tab_Homes[[#This Row],[Energy demand focus]]="Y",Tab_Homes[[#This Row],[Category]],0)</f>
        <v>Regulatory</v>
      </c>
      <c r="W56" s="269">
        <f>IF(Tab_Homes[[#This Row],[Energy demand focus]]="Y",Tab_Homes[[#This Row],[Investment]],0)</f>
        <v>0</v>
      </c>
      <c r="X56" s="269">
        <f>IF(Tab_Homes[[#This Row],[Energy demand focus]]="N",Tab_Homes[[#This Row],[Investment]],0)</f>
        <v>0</v>
      </c>
    </row>
    <row r="57" spans="1:24" s="1" customFormat="1" ht="45" x14ac:dyDescent="0.25">
      <c r="A57" s="44">
        <v>78</v>
      </c>
      <c r="B57" s="44" t="s">
        <v>101</v>
      </c>
      <c r="C57" s="38" t="s">
        <v>702</v>
      </c>
      <c r="D57" s="25" t="s">
        <v>160</v>
      </c>
      <c r="E57" s="25" t="s">
        <v>162</v>
      </c>
      <c r="F57" s="25" t="s">
        <v>785</v>
      </c>
      <c r="G57" s="25" t="s">
        <v>159</v>
      </c>
      <c r="H57" s="25"/>
      <c r="I57" s="24"/>
      <c r="J57" s="24"/>
      <c r="K57" s="24" t="s">
        <v>720</v>
      </c>
      <c r="L57" s="44" t="s">
        <v>84</v>
      </c>
      <c r="M57" s="24" t="s">
        <v>163</v>
      </c>
      <c r="N57" s="46"/>
      <c r="O57" s="131">
        <v>1</v>
      </c>
      <c r="P57" s="131">
        <f>COUNTA(Tab_Homes[[#This Row],[Investment]])</f>
        <v>0</v>
      </c>
      <c r="Q57" s="131">
        <f>COUNTA(Tab_Homes[[#This Row],[Lead department]])</f>
        <v>0</v>
      </c>
      <c r="R57" s="131">
        <f>COUNTA(Tab_Homes[[#This Row],[Spec target / outcomes]])</f>
        <v>0</v>
      </c>
      <c r="S57" s="131">
        <f>COUNTA(Tab_Homes[[#This Row],[Obligations]])</f>
        <v>1</v>
      </c>
      <c r="T57" s="132">
        <f t="shared" si="2"/>
        <v>1</v>
      </c>
      <c r="U57" s="132">
        <f t="shared" si="3"/>
        <v>0</v>
      </c>
      <c r="V57" s="269" t="str">
        <f>IF(Tab_Homes[[#This Row],[Energy demand focus]]="Y",Tab_Homes[[#This Row],[Category]],0)</f>
        <v>Regulatory</v>
      </c>
      <c r="W57" s="269">
        <f>IF(Tab_Homes[[#This Row],[Energy demand focus]]="Y",Tab_Homes[[#This Row],[Investment]],0)</f>
        <v>0</v>
      </c>
      <c r="X57" s="269">
        <f>IF(Tab_Homes[[#This Row],[Energy demand focus]]="N",Tab_Homes[[#This Row],[Investment]],0)</f>
        <v>0</v>
      </c>
    </row>
    <row r="58" spans="1:24" s="1" customFormat="1" ht="45" x14ac:dyDescent="0.25">
      <c r="A58" s="44">
        <v>78</v>
      </c>
      <c r="B58" s="44" t="s">
        <v>102</v>
      </c>
      <c r="C58" s="38" t="s">
        <v>702</v>
      </c>
      <c r="D58" s="25" t="s">
        <v>161</v>
      </c>
      <c r="E58" s="25" t="s">
        <v>130</v>
      </c>
      <c r="F58" s="25" t="s">
        <v>130</v>
      </c>
      <c r="G58" s="25" t="s">
        <v>596</v>
      </c>
      <c r="H58" s="25"/>
      <c r="I58" s="24" t="s">
        <v>577</v>
      </c>
      <c r="J58" s="24" t="s">
        <v>718</v>
      </c>
      <c r="K58" s="24"/>
      <c r="L58" s="44" t="s">
        <v>84</v>
      </c>
      <c r="M58" s="24" t="s">
        <v>309</v>
      </c>
      <c r="N58" s="46"/>
      <c r="O58" s="131">
        <v>1</v>
      </c>
      <c r="P58" s="131">
        <f>COUNTA(Tab_Homes[[#This Row],[Investment]])</f>
        <v>0</v>
      </c>
      <c r="Q58" s="131">
        <f>COUNTA(Tab_Homes[[#This Row],[Lead department]])</f>
        <v>1</v>
      </c>
      <c r="R58" s="131">
        <f>COUNTA(Tab_Homes[[#This Row],[Spec target / outcomes]])</f>
        <v>1</v>
      </c>
      <c r="S58" s="131">
        <f>COUNTA(Tab_Homes[[#This Row],[Obligations]])</f>
        <v>0</v>
      </c>
      <c r="T58" s="132">
        <f t="shared" si="2"/>
        <v>1</v>
      </c>
      <c r="U58" s="132">
        <f t="shared" si="3"/>
        <v>0</v>
      </c>
      <c r="V58" s="269" t="str">
        <f>IF(Tab_Homes[[#This Row],[Energy demand focus]]="Y",Tab_Homes[[#This Row],[Category]],0)</f>
        <v>Various</v>
      </c>
      <c r="W58" s="269">
        <f>IF(Tab_Homes[[#This Row],[Energy demand focus]]="Y",Tab_Homes[[#This Row],[Investment]],0)</f>
        <v>0</v>
      </c>
      <c r="X58" s="269">
        <f>IF(Tab_Homes[[#This Row],[Energy demand focus]]="N",Tab_Homes[[#This Row],[Investment]],0)</f>
        <v>0</v>
      </c>
    </row>
    <row r="59" spans="1:24" s="1" customFormat="1" ht="30" x14ac:dyDescent="0.25">
      <c r="A59" s="44">
        <v>79</v>
      </c>
      <c r="B59" s="44" t="s">
        <v>164</v>
      </c>
      <c r="C59" s="38" t="s">
        <v>702</v>
      </c>
      <c r="D59" s="25" t="s">
        <v>165</v>
      </c>
      <c r="E59" s="25" t="s">
        <v>172</v>
      </c>
      <c r="F59" s="25" t="s">
        <v>785</v>
      </c>
      <c r="G59" s="25" t="s">
        <v>174</v>
      </c>
      <c r="H59" s="25"/>
      <c r="I59" s="24" t="s">
        <v>559</v>
      </c>
      <c r="J59" s="24" t="s">
        <v>84</v>
      </c>
      <c r="K59" s="24" t="s">
        <v>737</v>
      </c>
      <c r="L59" s="44" t="s">
        <v>84</v>
      </c>
      <c r="M59" s="24"/>
      <c r="N59" s="46"/>
      <c r="O59" s="131">
        <v>1</v>
      </c>
      <c r="P59" s="131">
        <f>COUNTA(Tab_Homes[[#This Row],[Investment]])</f>
        <v>0</v>
      </c>
      <c r="Q59" s="131">
        <f>COUNTA(Tab_Homes[[#This Row],[Lead department]])</f>
        <v>1</v>
      </c>
      <c r="R59" s="131">
        <f>COUNTA(Tab_Homes[[#This Row],[Spec target / outcomes]])</f>
        <v>1</v>
      </c>
      <c r="S59" s="131">
        <f>COUNTA(Tab_Homes[[#This Row],[Obligations]])</f>
        <v>1</v>
      </c>
      <c r="T59" s="132">
        <f t="shared" si="2"/>
        <v>1</v>
      </c>
      <c r="U59" s="132">
        <f t="shared" si="3"/>
        <v>0</v>
      </c>
      <c r="V59" s="269" t="str">
        <f>IF(Tab_Homes[[#This Row],[Energy demand focus]]="Y",Tab_Homes[[#This Row],[Category]],0)</f>
        <v>Regulatory</v>
      </c>
      <c r="W59" s="269">
        <f>IF(Tab_Homes[[#This Row],[Energy demand focus]]="Y",Tab_Homes[[#This Row],[Investment]],0)</f>
        <v>0</v>
      </c>
      <c r="X59" s="269">
        <f>IF(Tab_Homes[[#This Row],[Energy demand focus]]="N",Tab_Homes[[#This Row],[Investment]],0)</f>
        <v>0</v>
      </c>
    </row>
    <row r="60" spans="1:24" s="1" customFormat="1" ht="30" x14ac:dyDescent="0.25">
      <c r="A60" s="44">
        <v>79</v>
      </c>
      <c r="B60" s="44" t="s">
        <v>166</v>
      </c>
      <c r="C60" s="38" t="s">
        <v>702</v>
      </c>
      <c r="D60" s="25" t="s">
        <v>167</v>
      </c>
      <c r="E60" s="25" t="s">
        <v>154</v>
      </c>
      <c r="F60" s="25" t="s">
        <v>19</v>
      </c>
      <c r="G60" s="25" t="s">
        <v>262</v>
      </c>
      <c r="H60" s="25"/>
      <c r="I60" s="24" t="s">
        <v>559</v>
      </c>
      <c r="J60" s="24"/>
      <c r="K60" s="24"/>
      <c r="L60" s="44" t="s">
        <v>84</v>
      </c>
      <c r="M60" s="24"/>
      <c r="N60" s="46"/>
      <c r="O60" s="131">
        <v>1</v>
      </c>
      <c r="P60" s="131">
        <f>COUNTA(Tab_Homes[[#This Row],[Investment]])</f>
        <v>0</v>
      </c>
      <c r="Q60" s="131">
        <f>COUNTA(Tab_Homes[[#This Row],[Lead department]])</f>
        <v>1</v>
      </c>
      <c r="R60" s="131">
        <f>COUNTA(Tab_Homes[[#This Row],[Spec target / outcomes]])</f>
        <v>0</v>
      </c>
      <c r="S60" s="131">
        <f>COUNTA(Tab_Homes[[#This Row],[Obligations]])</f>
        <v>0</v>
      </c>
      <c r="T60" s="132">
        <f t="shared" si="2"/>
        <v>1</v>
      </c>
      <c r="U60" s="132">
        <f t="shared" si="3"/>
        <v>0</v>
      </c>
      <c r="V60" s="269" t="str">
        <f>IF(Tab_Homes[[#This Row],[Energy demand focus]]="Y",Tab_Homes[[#This Row],[Category]],0)</f>
        <v>Information</v>
      </c>
      <c r="W60" s="269">
        <f>IF(Tab_Homes[[#This Row],[Energy demand focus]]="Y",Tab_Homes[[#This Row],[Investment]],0)</f>
        <v>0</v>
      </c>
      <c r="X60" s="269">
        <f>IF(Tab_Homes[[#This Row],[Energy demand focus]]="N",Tab_Homes[[#This Row],[Investment]],0)</f>
        <v>0</v>
      </c>
    </row>
    <row r="61" spans="1:24" s="1" customFormat="1" ht="30" x14ac:dyDescent="0.25">
      <c r="A61" s="26">
        <v>79</v>
      </c>
      <c r="B61" s="26" t="s">
        <v>168</v>
      </c>
      <c r="C61" s="38" t="s">
        <v>702</v>
      </c>
      <c r="D61" s="25" t="s">
        <v>169</v>
      </c>
      <c r="E61" s="25" t="s">
        <v>154</v>
      </c>
      <c r="F61" s="25" t="s">
        <v>19</v>
      </c>
      <c r="G61" s="25"/>
      <c r="H61" s="25"/>
      <c r="I61" s="24"/>
      <c r="J61" s="24"/>
      <c r="K61" s="24"/>
      <c r="L61" s="44" t="s">
        <v>84</v>
      </c>
      <c r="M61" s="24"/>
      <c r="N61" s="41"/>
      <c r="O61" s="131">
        <v>0</v>
      </c>
      <c r="P61" s="131">
        <f>COUNTA(Tab_Homes[[#This Row],[Investment]])</f>
        <v>0</v>
      </c>
      <c r="Q61" s="131">
        <f>COUNTA(Tab_Homes[[#This Row],[Lead department]])</f>
        <v>0</v>
      </c>
      <c r="R61" s="131">
        <f>COUNTA(Tab_Homes[[#This Row],[Spec target / outcomes]])</f>
        <v>0</v>
      </c>
      <c r="S61" s="131">
        <f>COUNTA(Tab_Homes[[#This Row],[Obligations]])</f>
        <v>0</v>
      </c>
      <c r="T61" s="132">
        <f t="shared" si="2"/>
        <v>1</v>
      </c>
      <c r="U61" s="132">
        <f t="shared" si="3"/>
        <v>0</v>
      </c>
      <c r="V61" s="269" t="str">
        <f>IF(Tab_Homes[[#This Row],[Energy demand focus]]="Y",Tab_Homes[[#This Row],[Category]],0)</f>
        <v>Information</v>
      </c>
      <c r="W61" s="269">
        <f>IF(Tab_Homes[[#This Row],[Energy demand focus]]="Y",Tab_Homes[[#This Row],[Investment]],0)</f>
        <v>0</v>
      </c>
      <c r="X61" s="269">
        <f>IF(Tab_Homes[[#This Row],[Energy demand focus]]="N",Tab_Homes[[#This Row],[Investment]],0)</f>
        <v>0</v>
      </c>
    </row>
    <row r="62" spans="1:24" s="1" customFormat="1" ht="45" x14ac:dyDescent="0.25">
      <c r="A62" s="44">
        <v>79</v>
      </c>
      <c r="B62" s="44" t="s">
        <v>170</v>
      </c>
      <c r="C62" s="38" t="s">
        <v>702</v>
      </c>
      <c r="D62" s="25" t="s">
        <v>171</v>
      </c>
      <c r="E62" s="25" t="s">
        <v>173</v>
      </c>
      <c r="F62" s="25" t="s">
        <v>19</v>
      </c>
      <c r="G62" s="25"/>
      <c r="H62" s="25"/>
      <c r="I62" s="24"/>
      <c r="J62" s="24"/>
      <c r="K62" s="24"/>
      <c r="L62" s="44" t="s">
        <v>192</v>
      </c>
      <c r="M62" s="24"/>
      <c r="N62" s="46"/>
      <c r="O62" s="131">
        <v>0</v>
      </c>
      <c r="P62" s="131">
        <f>COUNTA(Tab_Homes[[#This Row],[Investment]])</f>
        <v>0</v>
      </c>
      <c r="Q62" s="131">
        <f>COUNTA(Tab_Homes[[#This Row],[Lead department]])</f>
        <v>0</v>
      </c>
      <c r="R62" s="131">
        <f>COUNTA(Tab_Homes[[#This Row],[Spec target / outcomes]])</f>
        <v>0</v>
      </c>
      <c r="S62" s="131">
        <f>COUNTA(Tab_Homes[[#This Row],[Obligations]])</f>
        <v>0</v>
      </c>
      <c r="T62" s="132">
        <f t="shared" si="2"/>
        <v>0</v>
      </c>
      <c r="U62" s="132">
        <f t="shared" si="3"/>
        <v>0</v>
      </c>
      <c r="V62" s="269">
        <f>IF(Tab_Homes[[#This Row],[Energy demand focus]]="Y",Tab_Homes[[#This Row],[Category]],0)</f>
        <v>0</v>
      </c>
      <c r="W62" s="269">
        <f>IF(Tab_Homes[[#This Row],[Energy demand focus]]="Y",Tab_Homes[[#This Row],[Investment]],0)</f>
        <v>0</v>
      </c>
      <c r="X62" s="269">
        <f>IF(Tab_Homes[[#This Row],[Energy demand focus]]="N",Tab_Homes[[#This Row],[Investment]],0)</f>
        <v>0</v>
      </c>
    </row>
    <row r="63" spans="1:24" s="1" customFormat="1" ht="45" x14ac:dyDescent="0.25">
      <c r="A63" s="44">
        <v>79</v>
      </c>
      <c r="B63" s="44">
        <v>13</v>
      </c>
      <c r="C63" s="38" t="s">
        <v>702</v>
      </c>
      <c r="D63" s="25" t="s">
        <v>595</v>
      </c>
      <c r="E63" s="25" t="s">
        <v>15</v>
      </c>
      <c r="F63" s="25" t="s">
        <v>785</v>
      </c>
      <c r="G63" s="47" t="s">
        <v>175</v>
      </c>
      <c r="H63" s="25"/>
      <c r="I63" s="24" t="s">
        <v>559</v>
      </c>
      <c r="J63" s="24" t="s">
        <v>84</v>
      </c>
      <c r="K63" s="24" t="s">
        <v>738</v>
      </c>
      <c r="L63" s="44" t="s">
        <v>67</v>
      </c>
      <c r="M63" s="24"/>
      <c r="N63" s="46"/>
      <c r="O63" s="131">
        <v>1</v>
      </c>
      <c r="P63" s="131">
        <f>COUNTA(Tab_Homes[[#This Row],[Investment]])</f>
        <v>0</v>
      </c>
      <c r="Q63" s="131">
        <f>COUNTA(Tab_Homes[[#This Row],[Lead department]])</f>
        <v>1</v>
      </c>
      <c r="R63" s="131">
        <f>COUNTA(Tab_Homes[[#This Row],[Spec target / outcomes]])</f>
        <v>1</v>
      </c>
      <c r="S63" s="131">
        <f>COUNTA(Tab_Homes[[#This Row],[Obligations]])</f>
        <v>1</v>
      </c>
      <c r="T63" s="132">
        <f t="shared" si="2"/>
        <v>0</v>
      </c>
      <c r="U63" s="132">
        <f t="shared" si="3"/>
        <v>1</v>
      </c>
      <c r="V63" s="269">
        <f>IF(Tab_Homes[[#This Row],[Energy demand focus]]="Y",Tab_Homes[[#This Row],[Category]],0)</f>
        <v>0</v>
      </c>
      <c r="W63" s="269">
        <f>IF(Tab_Homes[[#This Row],[Energy demand focus]]="Y",Tab_Homes[[#This Row],[Investment]],0)</f>
        <v>0</v>
      </c>
      <c r="X63" s="269">
        <f>IF(Tab_Homes[[#This Row],[Energy demand focus]]="N",Tab_Homes[[#This Row],[Investment]],0)</f>
        <v>0</v>
      </c>
    </row>
    <row r="64" spans="1:24" s="3" customFormat="1" ht="45" x14ac:dyDescent="0.25">
      <c r="A64" s="26">
        <v>79</v>
      </c>
      <c r="B64" s="26" t="s">
        <v>178</v>
      </c>
      <c r="C64" s="40" t="s">
        <v>176</v>
      </c>
      <c r="D64" s="25" t="s">
        <v>916</v>
      </c>
      <c r="E64" s="25" t="s">
        <v>122</v>
      </c>
      <c r="F64" s="25" t="s">
        <v>1</v>
      </c>
      <c r="G64" s="25" t="s">
        <v>255</v>
      </c>
      <c r="H64" s="25" t="s">
        <v>177</v>
      </c>
      <c r="I64" s="24"/>
      <c r="J64" s="24"/>
      <c r="K64" s="24"/>
      <c r="L64" s="44" t="s">
        <v>67</v>
      </c>
      <c r="M64" s="24"/>
      <c r="N64" s="41"/>
      <c r="O64" s="131">
        <v>1</v>
      </c>
      <c r="P64" s="131">
        <f>COUNTA(Tab_Homes[[#This Row],[Investment]])</f>
        <v>1</v>
      </c>
      <c r="Q64" s="131">
        <f>COUNTA(Tab_Homes[[#This Row],[Lead department]])</f>
        <v>0</v>
      </c>
      <c r="R64" s="131">
        <f>COUNTA(Tab_Homes[[#This Row],[Spec target / outcomes]])</f>
        <v>0</v>
      </c>
      <c r="S64" s="131">
        <f>COUNTA(Tab_Homes[[#This Row],[Obligations]])</f>
        <v>0</v>
      </c>
      <c r="T64" s="132">
        <f t="shared" si="2"/>
        <v>0</v>
      </c>
      <c r="U64" s="132">
        <f t="shared" si="3"/>
        <v>1</v>
      </c>
      <c r="V64" s="269">
        <f>IF(Tab_Homes[[#This Row],[Energy demand focus]]="Y",Tab_Homes[[#This Row],[Category]],0)</f>
        <v>0</v>
      </c>
      <c r="W64" s="269">
        <f>IF(Tab_Homes[[#This Row],[Energy demand focus]]="Y",Tab_Homes[[#This Row],[Investment]],0)</f>
        <v>0</v>
      </c>
      <c r="X64" s="269" t="str">
        <f>IF(Tab_Homes[[#This Row],[Energy demand focus]]="N",Tab_Homes[[#This Row],[Investment]],0)</f>
        <v>£4.5 billion</v>
      </c>
    </row>
    <row r="65" spans="1:24" ht="45" x14ac:dyDescent="0.25">
      <c r="A65" s="26">
        <v>79</v>
      </c>
      <c r="B65" s="26" t="s">
        <v>179</v>
      </c>
      <c r="C65" s="40" t="s">
        <v>176</v>
      </c>
      <c r="D65" s="25" t="s">
        <v>914</v>
      </c>
      <c r="E65" s="25" t="s">
        <v>180</v>
      </c>
      <c r="F65" s="25" t="s">
        <v>784</v>
      </c>
      <c r="G65" s="25" t="s">
        <v>448</v>
      </c>
      <c r="H65" s="25"/>
      <c r="I65" s="24"/>
      <c r="J65" s="24"/>
      <c r="K65" s="24"/>
      <c r="L65" s="44" t="s">
        <v>67</v>
      </c>
      <c r="M65" s="24"/>
      <c r="N65" s="41"/>
      <c r="O65" s="131">
        <v>1</v>
      </c>
      <c r="P65" s="131">
        <f>COUNTA(Tab_Homes[[#This Row],[Investment]])</f>
        <v>0</v>
      </c>
      <c r="Q65" s="131">
        <f>COUNTA(Tab_Homes[[#This Row],[Lead department]])</f>
        <v>0</v>
      </c>
      <c r="R65" s="131">
        <f>COUNTA(Tab_Homes[[#This Row],[Spec target / outcomes]])</f>
        <v>0</v>
      </c>
      <c r="S65" s="131">
        <f>COUNTA(Tab_Homes[[#This Row],[Obligations]])</f>
        <v>0</v>
      </c>
      <c r="T65" s="132">
        <f t="shared" si="2"/>
        <v>0</v>
      </c>
      <c r="U65" s="132">
        <f t="shared" si="3"/>
        <v>1</v>
      </c>
      <c r="V65" s="269">
        <f>IF(Tab_Homes[[#This Row],[Energy demand focus]]="Y",Tab_Homes[[#This Row],[Category]],0)</f>
        <v>0</v>
      </c>
      <c r="W65" s="269">
        <f>IF(Tab_Homes[[#This Row],[Energy demand focus]]="Y",Tab_Homes[[#This Row],[Investment]],0)</f>
        <v>0</v>
      </c>
      <c r="X65" s="269">
        <f>IF(Tab_Homes[[#This Row],[Energy demand focus]]="N",Tab_Homes[[#This Row],[Investment]],0)</f>
        <v>0</v>
      </c>
    </row>
    <row r="66" spans="1:24" ht="60" x14ac:dyDescent="0.25">
      <c r="A66" s="26">
        <v>79</v>
      </c>
      <c r="B66" s="26" t="s">
        <v>115</v>
      </c>
      <c r="C66" s="40" t="s">
        <v>176</v>
      </c>
      <c r="D66" s="25" t="s">
        <v>915</v>
      </c>
      <c r="E66" s="25" t="s">
        <v>182</v>
      </c>
      <c r="F66" s="25" t="s">
        <v>130</v>
      </c>
      <c r="G66" s="25" t="s">
        <v>181</v>
      </c>
      <c r="H66" s="25"/>
      <c r="I66" s="24" t="s">
        <v>559</v>
      </c>
      <c r="J66" s="24" t="s">
        <v>84</v>
      </c>
      <c r="K66" s="24" t="s">
        <v>720</v>
      </c>
      <c r="L66" s="44" t="s">
        <v>67</v>
      </c>
      <c r="M66" s="24" t="s">
        <v>589</v>
      </c>
      <c r="N66" s="41"/>
      <c r="O66" s="131">
        <v>1</v>
      </c>
      <c r="P66" s="131">
        <f>COUNTA(Tab_Homes[[#This Row],[Investment]])</f>
        <v>0</v>
      </c>
      <c r="Q66" s="131">
        <f>COUNTA(Tab_Homes[[#This Row],[Lead department]])</f>
        <v>1</v>
      </c>
      <c r="R66" s="131">
        <f>COUNTA(Tab_Homes[[#This Row],[Spec target / outcomes]])</f>
        <v>1</v>
      </c>
      <c r="S66" s="131">
        <f>COUNTA(Tab_Homes[[#This Row],[Obligations]])</f>
        <v>1</v>
      </c>
      <c r="T66" s="132">
        <f t="shared" si="2"/>
        <v>0</v>
      </c>
      <c r="U66" s="132">
        <f t="shared" si="3"/>
        <v>1</v>
      </c>
      <c r="V66" s="269">
        <f>IF(Tab_Homes[[#This Row],[Energy demand focus]]="Y",Tab_Homes[[#This Row],[Category]],0)</f>
        <v>0</v>
      </c>
      <c r="W66" s="269">
        <f>IF(Tab_Homes[[#This Row],[Energy demand focus]]="Y",Tab_Homes[[#This Row],[Investment]],0)</f>
        <v>0</v>
      </c>
      <c r="X66" s="269">
        <f>IF(Tab_Homes[[#This Row],[Energy demand focus]]="N",Tab_Homes[[#This Row],[Investment]],0)</f>
        <v>0</v>
      </c>
    </row>
    <row r="67" spans="1:24" ht="30" x14ac:dyDescent="0.25">
      <c r="A67" s="26">
        <v>79</v>
      </c>
      <c r="B67" s="26" t="s">
        <v>114</v>
      </c>
      <c r="C67" s="40" t="s">
        <v>176</v>
      </c>
      <c r="D67" s="25" t="s">
        <v>183</v>
      </c>
      <c r="E67" s="25" t="s">
        <v>122</v>
      </c>
      <c r="F67" s="25" t="s">
        <v>1</v>
      </c>
      <c r="G67" s="25"/>
      <c r="H67" s="25" t="s">
        <v>184</v>
      </c>
      <c r="I67" s="24"/>
      <c r="J67" s="24"/>
      <c r="K67" s="24"/>
      <c r="L67" s="44" t="s">
        <v>67</v>
      </c>
      <c r="M67" s="24"/>
      <c r="N67" s="41"/>
      <c r="O67" s="131">
        <v>0</v>
      </c>
      <c r="P67" s="131">
        <f>COUNTA(Tab_Homes[[#This Row],[Investment]])</f>
        <v>1</v>
      </c>
      <c r="Q67" s="131">
        <f>COUNTA(Tab_Homes[[#This Row],[Lead department]])</f>
        <v>0</v>
      </c>
      <c r="R67" s="131">
        <f>COUNTA(Tab_Homes[[#This Row],[Spec target / outcomes]])</f>
        <v>0</v>
      </c>
      <c r="S67" s="131">
        <f>COUNTA(Tab_Homes[[#This Row],[Obligations]])</f>
        <v>0</v>
      </c>
      <c r="T67" s="132">
        <f t="shared" si="2"/>
        <v>0</v>
      </c>
      <c r="U67" s="132">
        <f t="shared" si="3"/>
        <v>1</v>
      </c>
      <c r="V67" s="269">
        <f>IF(Tab_Homes[[#This Row],[Energy demand focus]]="Y",Tab_Homes[[#This Row],[Category]],0)</f>
        <v>0</v>
      </c>
      <c r="W67" s="269">
        <f>IF(Tab_Homes[[#This Row],[Energy demand focus]]="Y",Tab_Homes[[#This Row],[Investment]],0)</f>
        <v>0</v>
      </c>
      <c r="X67" s="269" t="str">
        <f>IF(Tab_Homes[[#This Row],[Energy demand focus]]="N",Tab_Homes[[#This Row],[Investment]],0)</f>
        <v>£10 million</v>
      </c>
    </row>
    <row r="68" spans="1:24" ht="45" x14ac:dyDescent="0.25">
      <c r="A68" s="26">
        <v>79</v>
      </c>
      <c r="B68" s="26" t="s">
        <v>185</v>
      </c>
      <c r="C68" s="40" t="s">
        <v>176</v>
      </c>
      <c r="D68" s="25" t="s">
        <v>187</v>
      </c>
      <c r="E68" s="25" t="s">
        <v>122</v>
      </c>
      <c r="F68" s="25" t="s">
        <v>1</v>
      </c>
      <c r="G68" s="25"/>
      <c r="H68" s="25" t="s">
        <v>186</v>
      </c>
      <c r="I68" s="24"/>
      <c r="J68" s="24"/>
      <c r="K68" s="24"/>
      <c r="L68" s="44" t="s">
        <v>67</v>
      </c>
      <c r="M68" s="24"/>
      <c r="N68" s="41"/>
      <c r="O68" s="131">
        <v>0</v>
      </c>
      <c r="P68" s="131">
        <f>COUNTA(Tab_Homes[[#This Row],[Investment]])</f>
        <v>1</v>
      </c>
      <c r="Q68" s="131">
        <f>COUNTA(Tab_Homes[[#This Row],[Lead department]])</f>
        <v>0</v>
      </c>
      <c r="R68" s="131">
        <f>COUNTA(Tab_Homes[[#This Row],[Spec target / outcomes]])</f>
        <v>0</v>
      </c>
      <c r="S68" s="131">
        <f>COUNTA(Tab_Homes[[#This Row],[Obligations]])</f>
        <v>0</v>
      </c>
      <c r="T68" s="132">
        <f t="shared" si="2"/>
        <v>0</v>
      </c>
      <c r="U68" s="132">
        <f t="shared" si="3"/>
        <v>1</v>
      </c>
      <c r="V68" s="269">
        <f>IF(Tab_Homes[[#This Row],[Energy demand focus]]="Y",Tab_Homes[[#This Row],[Category]],0)</f>
        <v>0</v>
      </c>
      <c r="W68" s="269">
        <f>IF(Tab_Homes[[#This Row],[Energy demand focus]]="Y",Tab_Homes[[#This Row],[Investment]],0)</f>
        <v>0</v>
      </c>
      <c r="X68" s="269" t="str">
        <f>IF(Tab_Homes[[#This Row],[Energy demand focus]]="N",Tab_Homes[[#This Row],[Investment]],0)</f>
        <v>£200 million (part)</v>
      </c>
    </row>
    <row r="69" spans="1:24" ht="60" x14ac:dyDescent="0.25">
      <c r="A69" s="26">
        <v>79</v>
      </c>
      <c r="B69" s="26" t="s">
        <v>188</v>
      </c>
      <c r="C69" s="40" t="s">
        <v>176</v>
      </c>
      <c r="D69" s="25" t="s">
        <v>741</v>
      </c>
      <c r="E69" s="25" t="s">
        <v>122</v>
      </c>
      <c r="F69" s="25" t="s">
        <v>1</v>
      </c>
      <c r="G69" s="25" t="s">
        <v>517</v>
      </c>
      <c r="H69" s="25"/>
      <c r="I69" s="24" t="s">
        <v>559</v>
      </c>
      <c r="J69" s="24"/>
      <c r="K69" s="24"/>
      <c r="L69" s="44" t="s">
        <v>351</v>
      </c>
      <c r="M69" s="24"/>
      <c r="N69" s="41"/>
      <c r="O69" s="131">
        <v>1</v>
      </c>
      <c r="P69" s="131">
        <f>COUNTA(Tab_Homes[[#This Row],[Investment]])</f>
        <v>0</v>
      </c>
      <c r="Q69" s="131">
        <f>COUNTA(Tab_Homes[[#This Row],[Lead department]])</f>
        <v>1</v>
      </c>
      <c r="R69" s="131">
        <f>COUNTA(Tab_Homes[[#This Row],[Spec target / outcomes]])</f>
        <v>0</v>
      </c>
      <c r="S69" s="131">
        <f>COUNTA(Tab_Homes[[#This Row],[Obligations]])</f>
        <v>0</v>
      </c>
      <c r="T69" s="132">
        <f t="shared" si="2"/>
        <v>0</v>
      </c>
      <c r="U69" s="132">
        <f t="shared" si="3"/>
        <v>0</v>
      </c>
      <c r="V69" s="269">
        <f>IF(Tab_Homes[[#This Row],[Energy demand focus]]="Y",Tab_Homes[[#This Row],[Category]],0)</f>
        <v>0</v>
      </c>
      <c r="W69" s="269">
        <f>IF(Tab_Homes[[#This Row],[Energy demand focus]]="Y",Tab_Homes[[#This Row],[Investment]],0)</f>
        <v>0</v>
      </c>
      <c r="X69" s="269">
        <f>IF(Tab_Homes[[#This Row],[Energy demand focus]]="N",Tab_Homes[[#This Row],[Investment]],0)</f>
        <v>0</v>
      </c>
    </row>
    <row r="70" spans="1:24" ht="60" x14ac:dyDescent="0.25">
      <c r="A70" s="26">
        <v>79</v>
      </c>
      <c r="B70" s="26" t="s">
        <v>189</v>
      </c>
      <c r="C70" s="40" t="s">
        <v>176</v>
      </c>
      <c r="D70" s="25" t="s">
        <v>190</v>
      </c>
      <c r="E70" s="25" t="s">
        <v>14</v>
      </c>
      <c r="F70" s="25" t="s">
        <v>14</v>
      </c>
      <c r="G70" s="25" t="s">
        <v>452</v>
      </c>
      <c r="H70" s="25"/>
      <c r="I70" s="24"/>
      <c r="J70" s="24"/>
      <c r="K70" s="24"/>
      <c r="L70" s="44" t="s">
        <v>335</v>
      </c>
      <c r="M70" s="24"/>
      <c r="N70" s="41"/>
      <c r="O70" s="131">
        <v>1</v>
      </c>
      <c r="P70" s="131">
        <f>COUNTA(Tab_Homes[[#This Row],[Investment]])</f>
        <v>0</v>
      </c>
      <c r="Q70" s="131">
        <f>COUNTA(Tab_Homes[[#This Row],[Lead department]])</f>
        <v>0</v>
      </c>
      <c r="R70" s="131">
        <f>COUNTA(Tab_Homes[[#This Row],[Spec target / outcomes]])</f>
        <v>0</v>
      </c>
      <c r="S70" s="131">
        <f>COUNTA(Tab_Homes[[#This Row],[Obligations]])</f>
        <v>0</v>
      </c>
      <c r="T70" s="132">
        <f t="shared" si="2"/>
        <v>0</v>
      </c>
      <c r="U70" s="132">
        <f t="shared" si="3"/>
        <v>0</v>
      </c>
      <c r="V70" s="269">
        <f>IF(Tab_Homes[[#This Row],[Energy demand focus]]="Y",Tab_Homes[[#This Row],[Category]],0)</f>
        <v>0</v>
      </c>
      <c r="W70" s="269">
        <f>IF(Tab_Homes[[#This Row],[Energy demand focus]]="Y",Tab_Homes[[#This Row],[Investment]],0)</f>
        <v>0</v>
      </c>
      <c r="X70" s="269">
        <f>IF(Tab_Homes[[#This Row],[Energy demand focus]]="N",Tab_Homes[[#This Row],[Investment]],0)</f>
        <v>0</v>
      </c>
    </row>
    <row r="71" spans="1:24" ht="60" x14ac:dyDescent="0.25">
      <c r="A71" s="26">
        <v>80</v>
      </c>
      <c r="B71" s="26">
        <v>17</v>
      </c>
      <c r="C71" s="40" t="s">
        <v>176</v>
      </c>
      <c r="D71" s="25" t="s">
        <v>564</v>
      </c>
      <c r="E71" s="25" t="s">
        <v>158</v>
      </c>
      <c r="F71" s="25" t="s">
        <v>785</v>
      </c>
      <c r="G71" s="25" t="s">
        <v>519</v>
      </c>
      <c r="H71" s="25"/>
      <c r="I71" s="24" t="s">
        <v>578</v>
      </c>
      <c r="J71" s="24" t="s">
        <v>718</v>
      </c>
      <c r="K71" s="24" t="s">
        <v>720</v>
      </c>
      <c r="L71" s="44" t="s">
        <v>67</v>
      </c>
      <c r="M71" s="24" t="s">
        <v>456</v>
      </c>
      <c r="N71" s="41"/>
      <c r="O71" s="131">
        <v>1</v>
      </c>
      <c r="P71" s="131">
        <f>COUNTA(Tab_Homes[[#This Row],[Investment]])</f>
        <v>0</v>
      </c>
      <c r="Q71" s="131">
        <f>COUNTA(Tab_Homes[[#This Row],[Lead department]])</f>
        <v>1</v>
      </c>
      <c r="R71" s="131">
        <f>COUNTA(Tab_Homes[[#This Row],[Spec target / outcomes]])</f>
        <v>1</v>
      </c>
      <c r="S71" s="131">
        <f>COUNTA(Tab_Homes[[#This Row],[Obligations]])</f>
        <v>1</v>
      </c>
      <c r="T71" s="132">
        <f t="shared" si="2"/>
        <v>0</v>
      </c>
      <c r="U71" s="132">
        <f t="shared" si="3"/>
        <v>1</v>
      </c>
      <c r="V71" s="269">
        <f>IF(Tab_Homes[[#This Row],[Energy demand focus]]="Y",Tab_Homes[[#This Row],[Category]],0)</f>
        <v>0</v>
      </c>
      <c r="W71" s="269">
        <f>IF(Tab_Homes[[#This Row],[Energy demand focus]]="Y",Tab_Homes[[#This Row],[Investment]],0)</f>
        <v>0</v>
      </c>
      <c r="X71" s="269">
        <f>IF(Tab_Homes[[#This Row],[Energy demand focus]]="N",Tab_Homes[[#This Row],[Investment]],0)</f>
        <v>0</v>
      </c>
    </row>
    <row r="72" spans="1:24" ht="45" x14ac:dyDescent="0.25">
      <c r="A72" s="118">
        <v>80</v>
      </c>
      <c r="B72" s="118"/>
      <c r="C72" s="112" t="s">
        <v>694</v>
      </c>
      <c r="D72" s="32" t="s">
        <v>297</v>
      </c>
      <c r="E72" s="32" t="s">
        <v>122</v>
      </c>
      <c r="F72" s="32" t="s">
        <v>1</v>
      </c>
      <c r="G72" s="32" t="s">
        <v>191</v>
      </c>
      <c r="H72" s="74" t="s">
        <v>193</v>
      </c>
      <c r="I72" s="24"/>
      <c r="J72" s="24"/>
      <c r="K72" s="31"/>
      <c r="L72" s="141" t="s">
        <v>192</v>
      </c>
      <c r="M72" s="24"/>
      <c r="N72" s="119"/>
      <c r="O72" s="131">
        <v>1</v>
      </c>
      <c r="P72" s="131">
        <f>COUNTA(Tab_Homes[[#This Row],[Investment]])</f>
        <v>1</v>
      </c>
      <c r="Q72" s="131">
        <f>COUNTA(Tab_Homes[[#This Row],[Lead department]])</f>
        <v>0</v>
      </c>
      <c r="R72" s="131">
        <f>COUNTA(Tab_Homes[[#This Row],[Spec target / outcomes]])</f>
        <v>0</v>
      </c>
      <c r="S72" s="131">
        <f>COUNTA(Tab_Homes[[#This Row],[Obligations]])</f>
        <v>0</v>
      </c>
      <c r="T72" s="132">
        <f t="shared" si="2"/>
        <v>0</v>
      </c>
      <c r="U72" s="132">
        <f t="shared" si="3"/>
        <v>0</v>
      </c>
      <c r="V72" s="269">
        <f>IF(Tab_Homes[[#This Row],[Energy demand focus]]="Y",Tab_Homes[[#This Row],[Category]],0)</f>
        <v>0</v>
      </c>
      <c r="W72" s="269">
        <f>IF(Tab_Homes[[#This Row],[Energy demand focus]]="Y",Tab_Homes[[#This Row],[Investment]],0)</f>
        <v>0</v>
      </c>
      <c r="X72" s="269">
        <f>IF(Tab_Homes[[#This Row],[Energy demand focus]]="N",Tab_Homes[[#This Row],[Investment]],0)</f>
        <v>0</v>
      </c>
    </row>
    <row r="73" spans="1:24" ht="30" x14ac:dyDescent="0.25">
      <c r="A73" s="110">
        <v>80</v>
      </c>
      <c r="B73" s="110"/>
      <c r="C73" s="112" t="s">
        <v>694</v>
      </c>
      <c r="D73" s="34" t="s">
        <v>300</v>
      </c>
      <c r="E73" s="34" t="s">
        <v>122</v>
      </c>
      <c r="F73" s="34" t="s">
        <v>1</v>
      </c>
      <c r="G73" s="34"/>
      <c r="H73" s="49" t="s">
        <v>742</v>
      </c>
      <c r="I73" s="24"/>
      <c r="J73" s="24"/>
      <c r="K73" s="33"/>
      <c r="L73" s="140" t="s">
        <v>84</v>
      </c>
      <c r="M73" s="24"/>
      <c r="N73" s="111"/>
      <c r="O73" s="131">
        <v>0</v>
      </c>
      <c r="P73" s="131">
        <f>COUNTA(Tab_Homes[[#This Row],[Investment]])</f>
        <v>1</v>
      </c>
      <c r="Q73" s="131">
        <f>COUNTA(Tab_Homes[[#This Row],[Lead department]])</f>
        <v>0</v>
      </c>
      <c r="R73" s="131">
        <f>COUNTA(Tab_Homes[[#This Row],[Spec target / outcomes]])</f>
        <v>0</v>
      </c>
      <c r="S73" s="131">
        <f>COUNTA(Tab_Homes[[#This Row],[Obligations]])</f>
        <v>0</v>
      </c>
      <c r="T73" s="132">
        <f t="shared" si="2"/>
        <v>1</v>
      </c>
      <c r="U73" s="132">
        <f t="shared" si="3"/>
        <v>0</v>
      </c>
      <c r="V73" s="269" t="str">
        <f>IF(Tab_Homes[[#This Row],[Energy demand focus]]="Y",Tab_Homes[[#This Row],[Category]],0)</f>
        <v>Investment</v>
      </c>
      <c r="W73" s="269" t="str">
        <f>IF(Tab_Homes[[#This Row],[Energy demand focus]]="Y",Tab_Homes[[#This Row],[Investment]],0)</f>
        <v>£70 million</v>
      </c>
      <c r="X73" s="269">
        <f>IF(Tab_Homes[[#This Row],[Energy demand focus]]="N",Tab_Homes[[#This Row],[Investment]],0)</f>
        <v>0</v>
      </c>
    </row>
    <row r="74" spans="1:24" ht="45" x14ac:dyDescent="0.25">
      <c r="A74" s="118">
        <v>80</v>
      </c>
      <c r="B74" s="118"/>
      <c r="C74" s="112" t="s">
        <v>694</v>
      </c>
      <c r="D74" s="32" t="s">
        <v>194</v>
      </c>
      <c r="E74" s="32" t="s">
        <v>122</v>
      </c>
      <c r="F74" s="32" t="s">
        <v>1</v>
      </c>
      <c r="G74" s="32"/>
      <c r="H74" s="48" t="s">
        <v>184</v>
      </c>
      <c r="I74" s="24"/>
      <c r="J74" s="24"/>
      <c r="K74" s="31"/>
      <c r="L74" s="141" t="s">
        <v>84</v>
      </c>
      <c r="M74" s="24"/>
      <c r="N74" s="119"/>
      <c r="O74" s="131">
        <v>0</v>
      </c>
      <c r="P74" s="131">
        <f>COUNTA(Tab_Homes[[#This Row],[Investment]])</f>
        <v>1</v>
      </c>
      <c r="Q74" s="131">
        <f>COUNTA(Tab_Homes[[#This Row],[Lead department]])</f>
        <v>0</v>
      </c>
      <c r="R74" s="131">
        <f>COUNTA(Tab_Homes[[#This Row],[Spec target / outcomes]])</f>
        <v>0</v>
      </c>
      <c r="S74" s="131">
        <f>COUNTA(Tab_Homes[[#This Row],[Obligations]])</f>
        <v>0</v>
      </c>
      <c r="T74" s="132">
        <f t="shared" si="2"/>
        <v>1</v>
      </c>
      <c r="U74" s="132">
        <f t="shared" si="3"/>
        <v>0</v>
      </c>
      <c r="V74" s="269" t="str">
        <f>IF(Tab_Homes[[#This Row],[Energy demand focus]]="Y",Tab_Homes[[#This Row],[Category]],0)</f>
        <v>Investment</v>
      </c>
      <c r="W74" s="269" t="str">
        <f>IF(Tab_Homes[[#This Row],[Energy demand focus]]="Y",Tab_Homes[[#This Row],[Investment]],0)</f>
        <v>£10 million</v>
      </c>
      <c r="X74" s="269">
        <f>IF(Tab_Homes[[#This Row],[Energy demand focus]]="N",Tab_Homes[[#This Row],[Investment]],0)</f>
        <v>0</v>
      </c>
    </row>
    <row r="75" spans="1:24" ht="30" x14ac:dyDescent="0.25">
      <c r="A75" s="110">
        <v>80</v>
      </c>
      <c r="B75" s="110"/>
      <c r="C75" s="112" t="s">
        <v>694</v>
      </c>
      <c r="D75" s="34" t="s">
        <v>195</v>
      </c>
      <c r="E75" s="34" t="s">
        <v>122</v>
      </c>
      <c r="F75" s="34" t="s">
        <v>1</v>
      </c>
      <c r="G75" s="34"/>
      <c r="H75" s="49" t="s">
        <v>184</v>
      </c>
      <c r="I75" s="24"/>
      <c r="J75" s="24"/>
      <c r="K75" s="33"/>
      <c r="L75" s="140" t="s">
        <v>67</v>
      </c>
      <c r="M75" s="24"/>
      <c r="N75" s="111"/>
      <c r="O75" s="131">
        <v>0</v>
      </c>
      <c r="P75" s="131">
        <f>COUNTA(Tab_Homes[[#This Row],[Investment]])</f>
        <v>1</v>
      </c>
      <c r="Q75" s="131">
        <f>COUNTA(Tab_Homes[[#This Row],[Lead department]])</f>
        <v>0</v>
      </c>
      <c r="R75" s="131">
        <f>COUNTA(Tab_Homes[[#This Row],[Spec target / outcomes]])</f>
        <v>0</v>
      </c>
      <c r="S75" s="131">
        <f>COUNTA(Tab_Homes[[#This Row],[Obligations]])</f>
        <v>0</v>
      </c>
      <c r="T75" s="132">
        <f t="shared" si="2"/>
        <v>0</v>
      </c>
      <c r="U75" s="132">
        <f t="shared" si="3"/>
        <v>1</v>
      </c>
      <c r="V75" s="269">
        <f>IF(Tab_Homes[[#This Row],[Energy demand focus]]="Y",Tab_Homes[[#This Row],[Category]],0)</f>
        <v>0</v>
      </c>
      <c r="W75" s="269">
        <f>IF(Tab_Homes[[#This Row],[Energy demand focus]]="Y",Tab_Homes[[#This Row],[Investment]],0)</f>
        <v>0</v>
      </c>
      <c r="X75" s="269" t="str">
        <f>IF(Tab_Homes[[#This Row],[Energy demand focus]]="N",Tab_Homes[[#This Row],[Investment]],0)</f>
        <v>£10 million</v>
      </c>
    </row>
    <row r="76" spans="1:24" ht="60" x14ac:dyDescent="0.25">
      <c r="A76" s="118">
        <v>80</v>
      </c>
      <c r="B76" s="118"/>
      <c r="C76" s="112" t="s">
        <v>694</v>
      </c>
      <c r="D76" s="32" t="s">
        <v>196</v>
      </c>
      <c r="E76" s="32" t="s">
        <v>19</v>
      </c>
      <c r="F76" s="32" t="s">
        <v>19</v>
      </c>
      <c r="G76" s="32" t="s">
        <v>197</v>
      </c>
      <c r="H76" s="48"/>
      <c r="I76" s="24"/>
      <c r="J76" s="24"/>
      <c r="K76" s="31"/>
      <c r="L76" s="141" t="s">
        <v>84</v>
      </c>
      <c r="M76" s="24"/>
      <c r="N76" s="119"/>
      <c r="O76" s="131">
        <v>1</v>
      </c>
      <c r="P76" s="131">
        <f>COUNTA(Tab_Homes[[#This Row],[Investment]])</f>
        <v>0</v>
      </c>
      <c r="Q76" s="131">
        <f>COUNTA(Tab_Homes[[#This Row],[Lead department]])</f>
        <v>0</v>
      </c>
      <c r="R76" s="131">
        <f>COUNTA(Tab_Homes[[#This Row],[Spec target / outcomes]])</f>
        <v>0</v>
      </c>
      <c r="S76" s="131">
        <f>COUNTA(Tab_Homes[[#This Row],[Obligations]])</f>
        <v>0</v>
      </c>
      <c r="T76" s="132">
        <f t="shared" si="2"/>
        <v>1</v>
      </c>
      <c r="U76" s="132">
        <f t="shared" si="3"/>
        <v>0</v>
      </c>
      <c r="V76" s="269" t="str">
        <f>IF(Tab_Homes[[#This Row],[Energy demand focus]]="Y",Tab_Homes[[#This Row],[Category]],0)</f>
        <v>Information</v>
      </c>
      <c r="W76" s="269">
        <f>IF(Tab_Homes[[#This Row],[Energy demand focus]]="Y",Tab_Homes[[#This Row],[Investment]],0)</f>
        <v>0</v>
      </c>
      <c r="X76" s="269">
        <f>IF(Tab_Homes[[#This Row],[Energy demand focus]]="N",Tab_Homes[[#This Row],[Investment]],0)</f>
        <v>0</v>
      </c>
    </row>
    <row r="77" spans="1:24" ht="30" x14ac:dyDescent="0.25">
      <c r="A77" s="110">
        <v>80</v>
      </c>
      <c r="B77" s="110"/>
      <c r="C77" s="112" t="s">
        <v>694</v>
      </c>
      <c r="D77" s="34" t="s">
        <v>198</v>
      </c>
      <c r="E77" s="34" t="s">
        <v>122</v>
      </c>
      <c r="F77" s="34" t="s">
        <v>1</v>
      </c>
      <c r="G77" s="34" t="s">
        <v>200</v>
      </c>
      <c r="H77" s="49" t="s">
        <v>199</v>
      </c>
      <c r="I77" s="24"/>
      <c r="J77" s="24"/>
      <c r="K77" s="33"/>
      <c r="L77" s="140" t="s">
        <v>192</v>
      </c>
      <c r="M77" s="24"/>
      <c r="N77" s="111"/>
      <c r="O77" s="131">
        <v>1</v>
      </c>
      <c r="P77" s="131">
        <f>COUNTA(Tab_Homes[[#This Row],[Investment]])</f>
        <v>1</v>
      </c>
      <c r="Q77" s="131">
        <f>COUNTA(Tab_Homes[[#This Row],[Lead department]])</f>
        <v>0</v>
      </c>
      <c r="R77" s="131">
        <f>COUNTA(Tab_Homes[[#This Row],[Spec target / outcomes]])</f>
        <v>0</v>
      </c>
      <c r="S77" s="131">
        <f>COUNTA(Tab_Homes[[#This Row],[Obligations]])</f>
        <v>0</v>
      </c>
      <c r="T77" s="132">
        <f t="shared" si="2"/>
        <v>0</v>
      </c>
      <c r="U77" s="132">
        <f t="shared" si="3"/>
        <v>0</v>
      </c>
      <c r="V77" s="269">
        <f>IF(Tab_Homes[[#This Row],[Energy demand focus]]="Y",Tab_Homes[[#This Row],[Category]],0)</f>
        <v>0</v>
      </c>
      <c r="W77" s="269">
        <f>IF(Tab_Homes[[#This Row],[Energy demand focus]]="Y",Tab_Homes[[#This Row],[Investment]],0)</f>
        <v>0</v>
      </c>
      <c r="X77" s="269">
        <f>IF(Tab_Homes[[#This Row],[Energy demand focus]]="N",Tab_Homes[[#This Row],[Investment]],0)</f>
        <v>0</v>
      </c>
    </row>
    <row r="78" spans="1:24" ht="30" x14ac:dyDescent="0.25">
      <c r="A78" s="118">
        <v>81</v>
      </c>
      <c r="B78" s="118"/>
      <c r="C78" s="112" t="s">
        <v>694</v>
      </c>
      <c r="D78" s="32" t="s">
        <v>203</v>
      </c>
      <c r="E78" s="32" t="s">
        <v>122</v>
      </c>
      <c r="F78" s="32" t="s">
        <v>1</v>
      </c>
      <c r="G78" s="32" t="s">
        <v>202</v>
      </c>
      <c r="H78" s="48" t="s">
        <v>201</v>
      </c>
      <c r="I78" s="24"/>
      <c r="J78" s="24"/>
      <c r="K78" s="31"/>
      <c r="L78" s="141" t="s">
        <v>84</v>
      </c>
      <c r="M78" s="24"/>
      <c r="N78" s="119"/>
      <c r="O78" s="131">
        <v>1</v>
      </c>
      <c r="P78" s="131">
        <f>COUNTA(Tab_Homes[[#This Row],[Investment]])</f>
        <v>1</v>
      </c>
      <c r="Q78" s="131">
        <f>COUNTA(Tab_Homes[[#This Row],[Lead department]])</f>
        <v>0</v>
      </c>
      <c r="R78" s="131">
        <f>COUNTA(Tab_Homes[[#This Row],[Spec target / outcomes]])</f>
        <v>0</v>
      </c>
      <c r="S78" s="131">
        <f>COUNTA(Tab_Homes[[#This Row],[Obligations]])</f>
        <v>0</v>
      </c>
      <c r="T78" s="132">
        <f t="shared" si="2"/>
        <v>1</v>
      </c>
      <c r="U78" s="132">
        <f t="shared" si="3"/>
        <v>0</v>
      </c>
      <c r="V78" s="269" t="str">
        <f>IF(Tab_Homes[[#This Row],[Energy demand focus]]="Y",Tab_Homes[[#This Row],[Category]],0)</f>
        <v>Investment</v>
      </c>
      <c r="W78" s="269" t="str">
        <f>IF(Tab_Homes[[#This Row],[Energy demand focus]]="Y",Tab_Homes[[#This Row],[Investment]],0)</f>
        <v>£19 million</v>
      </c>
      <c r="X78" s="269">
        <f>IF(Tab_Homes[[#This Row],[Energy demand focus]]="N",Tab_Homes[[#This Row],[Investment]],0)</f>
        <v>0</v>
      </c>
    </row>
    <row r="79" spans="1:24" ht="30" x14ac:dyDescent="0.25">
      <c r="A79" s="110">
        <v>81</v>
      </c>
      <c r="B79" s="110"/>
      <c r="C79" s="112" t="s">
        <v>694</v>
      </c>
      <c r="D79" s="34" t="s">
        <v>209</v>
      </c>
      <c r="E79" s="34" t="s">
        <v>122</v>
      </c>
      <c r="F79" s="34" t="s">
        <v>1</v>
      </c>
      <c r="G79" s="34"/>
      <c r="H79" s="49"/>
      <c r="I79" s="24"/>
      <c r="J79" s="24"/>
      <c r="K79" s="33"/>
      <c r="L79" s="140" t="s">
        <v>192</v>
      </c>
      <c r="M79" s="24"/>
      <c r="N79" s="111"/>
      <c r="O79" s="131">
        <v>0</v>
      </c>
      <c r="P79" s="131">
        <f>COUNTA(Tab_Homes[[#This Row],[Investment]])</f>
        <v>0</v>
      </c>
      <c r="Q79" s="131">
        <f>COUNTA(Tab_Homes[[#This Row],[Lead department]])</f>
        <v>0</v>
      </c>
      <c r="R79" s="131">
        <f>COUNTA(Tab_Homes[[#This Row],[Spec target / outcomes]])</f>
        <v>0</v>
      </c>
      <c r="S79" s="131">
        <f>COUNTA(Tab_Homes[[#This Row],[Obligations]])</f>
        <v>0</v>
      </c>
      <c r="T79" s="132">
        <f t="shared" si="2"/>
        <v>0</v>
      </c>
      <c r="U79" s="132">
        <f t="shared" si="3"/>
        <v>0</v>
      </c>
      <c r="V79" s="269">
        <f>IF(Tab_Homes[[#This Row],[Energy demand focus]]="Y",Tab_Homes[[#This Row],[Category]],0)</f>
        <v>0</v>
      </c>
      <c r="W79" s="269">
        <f>IF(Tab_Homes[[#This Row],[Energy demand focus]]="Y",Tab_Homes[[#This Row],[Investment]],0)</f>
        <v>0</v>
      </c>
      <c r="X79" s="269">
        <f>IF(Tab_Homes[[#This Row],[Energy demand focus]]="N",Tab_Homes[[#This Row],[Investment]],0)</f>
        <v>0</v>
      </c>
    </row>
    <row r="80" spans="1:24" ht="45" x14ac:dyDescent="0.25">
      <c r="A80" s="118">
        <v>81</v>
      </c>
      <c r="B80" s="118"/>
      <c r="C80" s="112" t="s">
        <v>694</v>
      </c>
      <c r="D80" s="32" t="s">
        <v>912</v>
      </c>
      <c r="E80" s="32" t="s">
        <v>122</v>
      </c>
      <c r="F80" s="32" t="s">
        <v>1</v>
      </c>
      <c r="G80" s="32"/>
      <c r="H80" s="48" t="s">
        <v>205</v>
      </c>
      <c r="I80" s="24"/>
      <c r="J80" s="24"/>
      <c r="K80" s="31"/>
      <c r="L80" s="141" t="s">
        <v>67</v>
      </c>
      <c r="M80" s="24"/>
      <c r="N80" s="119"/>
      <c r="O80" s="131">
        <v>0</v>
      </c>
      <c r="P80" s="131">
        <f>COUNTA(Tab_Homes[[#This Row],[Investment]])</f>
        <v>1</v>
      </c>
      <c r="Q80" s="131">
        <f>COUNTA(Tab_Homes[[#This Row],[Lead department]])</f>
        <v>0</v>
      </c>
      <c r="R80" s="131">
        <f>COUNTA(Tab_Homes[[#This Row],[Spec target / outcomes]])</f>
        <v>0</v>
      </c>
      <c r="S80" s="131">
        <f>COUNTA(Tab_Homes[[#This Row],[Obligations]])</f>
        <v>0</v>
      </c>
      <c r="T80" s="132">
        <f t="shared" si="2"/>
        <v>0</v>
      </c>
      <c r="U80" s="132">
        <f t="shared" si="3"/>
        <v>1</v>
      </c>
      <c r="V80" s="269">
        <f>IF(Tab_Homes[[#This Row],[Energy demand focus]]="Y",Tab_Homes[[#This Row],[Category]],0)</f>
        <v>0</v>
      </c>
      <c r="W80" s="269">
        <f>IF(Tab_Homes[[#This Row],[Energy demand focus]]="Y",Tab_Homes[[#This Row],[Investment]],0)</f>
        <v>0</v>
      </c>
      <c r="X80" s="269" t="str">
        <f>IF(Tab_Homes[[#This Row],[Energy demand focus]]="N",Tab_Homes[[#This Row],[Investment]],0)</f>
        <v>£25 million</v>
      </c>
    </row>
    <row r="81" spans="1:25" ht="45" x14ac:dyDescent="0.25">
      <c r="A81" s="110">
        <v>81</v>
      </c>
      <c r="B81" s="110"/>
      <c r="C81" s="112" t="s">
        <v>694</v>
      </c>
      <c r="D81" s="34" t="s">
        <v>206</v>
      </c>
      <c r="E81" s="34" t="s">
        <v>14</v>
      </c>
      <c r="F81" s="34" t="s">
        <v>14</v>
      </c>
      <c r="G81" s="43" t="s">
        <v>593</v>
      </c>
      <c r="H81" s="49"/>
      <c r="I81" s="24"/>
      <c r="J81" s="24"/>
      <c r="K81" s="33"/>
      <c r="L81" s="140" t="s">
        <v>84</v>
      </c>
      <c r="M81" s="24"/>
      <c r="N81" s="111"/>
      <c r="O81" s="131">
        <v>1</v>
      </c>
      <c r="P81" s="131">
        <f>COUNTA(Tab_Homes[[#This Row],[Investment]])</f>
        <v>0</v>
      </c>
      <c r="Q81" s="131">
        <f>COUNTA(Tab_Homes[[#This Row],[Lead department]])</f>
        <v>0</v>
      </c>
      <c r="R81" s="131">
        <f>COUNTA(Tab_Homes[[#This Row],[Spec target / outcomes]])</f>
        <v>0</v>
      </c>
      <c r="S81" s="131">
        <f>COUNTA(Tab_Homes[[#This Row],[Obligations]])</f>
        <v>0</v>
      </c>
      <c r="T81" s="132">
        <f t="shared" si="2"/>
        <v>1</v>
      </c>
      <c r="U81" s="132">
        <f t="shared" si="3"/>
        <v>0</v>
      </c>
      <c r="V81" s="269" t="str">
        <f>IF(Tab_Homes[[#This Row],[Energy demand focus]]="Y",Tab_Homes[[#This Row],[Category]],0)</f>
        <v>?</v>
      </c>
      <c r="W81" s="269">
        <f>IF(Tab_Homes[[#This Row],[Energy demand focus]]="Y",Tab_Homes[[#This Row],[Investment]],0)</f>
        <v>0</v>
      </c>
      <c r="X81" s="269">
        <f>IF(Tab_Homes[[#This Row],[Energy demand focus]]="N",Tab_Homes[[#This Row],[Investment]],0)</f>
        <v>0</v>
      </c>
    </row>
    <row r="82" spans="1:25" ht="45" x14ac:dyDescent="0.25">
      <c r="A82" s="118">
        <v>81</v>
      </c>
      <c r="B82" s="118"/>
      <c r="C82" s="112" t="s">
        <v>694</v>
      </c>
      <c r="D82" s="32" t="s">
        <v>207</v>
      </c>
      <c r="E82" s="32" t="s">
        <v>122</v>
      </c>
      <c r="F82" s="32" t="s">
        <v>1</v>
      </c>
      <c r="G82" s="32"/>
      <c r="H82" s="32" t="s">
        <v>208</v>
      </c>
      <c r="I82" s="24"/>
      <c r="J82" s="24"/>
      <c r="K82" s="31"/>
      <c r="L82" s="141" t="s">
        <v>351</v>
      </c>
      <c r="M82" s="24"/>
      <c r="N82" s="119" t="s">
        <v>599</v>
      </c>
      <c r="O82" s="131">
        <v>0</v>
      </c>
      <c r="P82" s="131">
        <f>COUNTA(Tab_Homes[[#This Row],[Investment]])</f>
        <v>1</v>
      </c>
      <c r="Q82" s="131">
        <f>COUNTA(Tab_Homes[[#This Row],[Lead department]])</f>
        <v>0</v>
      </c>
      <c r="R82" s="131">
        <f>COUNTA(Tab_Homes[[#This Row],[Spec target / outcomes]])</f>
        <v>0</v>
      </c>
      <c r="S82" s="131">
        <f>COUNTA(Tab_Homes[[#This Row],[Obligations]])</f>
        <v>0</v>
      </c>
      <c r="T82" s="132">
        <f t="shared" si="2"/>
        <v>0</v>
      </c>
      <c r="U82" s="132">
        <f t="shared" si="3"/>
        <v>0</v>
      </c>
      <c r="V82" s="269">
        <f>IF(Tab_Homes[[#This Row],[Energy demand focus]]="Y",Tab_Homes[[#This Row],[Category]],0)</f>
        <v>0</v>
      </c>
      <c r="W82" s="269">
        <f>IF(Tab_Homes[[#This Row],[Energy demand focus]]="Y",Tab_Homes[[#This Row],[Investment]],0)</f>
        <v>0</v>
      </c>
      <c r="X82" s="269">
        <f>IF(Tab_Homes[[#This Row],[Energy demand focus]]="N",Tab_Homes[[#This Row],[Investment]],0)</f>
        <v>0</v>
      </c>
    </row>
    <row r="83" spans="1:25" ht="30" x14ac:dyDescent="0.25">
      <c r="A83" s="120">
        <v>82</v>
      </c>
      <c r="B83" s="120"/>
      <c r="C83" s="112" t="s">
        <v>694</v>
      </c>
      <c r="D83" s="51" t="s">
        <v>210</v>
      </c>
      <c r="E83" s="51" t="s">
        <v>19</v>
      </c>
      <c r="F83" s="51" t="s">
        <v>19</v>
      </c>
      <c r="G83" s="51" t="s">
        <v>211</v>
      </c>
      <c r="H83" s="52"/>
      <c r="I83" s="121"/>
      <c r="J83" s="121"/>
      <c r="K83" s="50"/>
      <c r="L83" s="142" t="s">
        <v>67</v>
      </c>
      <c r="M83" s="121"/>
      <c r="N83" s="122" t="s">
        <v>358</v>
      </c>
      <c r="O83" s="131">
        <v>1</v>
      </c>
      <c r="P83" s="131">
        <f>COUNTA(Tab_Homes[[#This Row],[Investment]])</f>
        <v>0</v>
      </c>
      <c r="Q83" s="131">
        <f>COUNTA(Tab_Homes[[#This Row],[Lead department]])</f>
        <v>0</v>
      </c>
      <c r="R83" s="131">
        <f>COUNTA(Tab_Homes[[#This Row],[Spec target / outcomes]])</f>
        <v>0</v>
      </c>
      <c r="S83" s="131">
        <f>COUNTA(Tab_Homes[[#This Row],[Obligations]])</f>
        <v>0</v>
      </c>
      <c r="T83" s="132">
        <f t="shared" si="2"/>
        <v>0</v>
      </c>
      <c r="U83" s="132">
        <f t="shared" si="3"/>
        <v>1</v>
      </c>
      <c r="V83" s="269">
        <f>IF(Tab_Homes[[#This Row],[Energy demand focus]]="Y",Tab_Homes[[#This Row],[Category]],0)</f>
        <v>0</v>
      </c>
      <c r="W83" s="269">
        <f>IF(Tab_Homes[[#This Row],[Energy demand focus]]="Y",Tab_Homes[[#This Row],[Investment]],0)</f>
        <v>0</v>
      </c>
      <c r="X83" s="269">
        <f>IF(Tab_Homes[[#This Row],[Energy demand focus]]="N",Tab_Homes[[#This Row],[Investment]],0)</f>
        <v>0</v>
      </c>
    </row>
    <row r="84" spans="1:25" x14ac:dyDescent="0.25">
      <c r="O84" s="315" t="s">
        <v>826</v>
      </c>
      <c r="P84" s="315"/>
      <c r="Q84" s="315"/>
      <c r="R84" s="315"/>
      <c r="S84" s="315"/>
      <c r="T84" s="315"/>
      <c r="U84" s="315"/>
      <c r="V84" s="315"/>
      <c r="W84" s="315" t="s">
        <v>825</v>
      </c>
      <c r="X84" s="315"/>
    </row>
    <row r="85" spans="1:25" ht="15" customHeight="1" x14ac:dyDescent="0.25">
      <c r="O85" s="104">
        <f>SUM(Tab_Homes[Time])</f>
        <v>28</v>
      </c>
      <c r="P85" s="104">
        <f>SUM(Tab_Homes[Inv])</f>
        <v>12</v>
      </c>
      <c r="Q85" s="104">
        <f>SUM(Tab_Homes[Dep])</f>
        <v>15</v>
      </c>
      <c r="R85" s="104">
        <f>SUM(Tab_Homes[Targ])</f>
        <v>16</v>
      </c>
      <c r="S85" s="104">
        <f>SUM(Tab_Homes[Obl])</f>
        <v>13</v>
      </c>
      <c r="T85" s="104">
        <f>SUM(Tab_Homes[Dem-yes])</f>
        <v>23</v>
      </c>
      <c r="U85" s="104">
        <f>SUM(Tab_Homes[Dem-no])</f>
        <v>10</v>
      </c>
      <c r="V85" s="268"/>
      <c r="W85" s="268"/>
      <c r="Y85" s="104"/>
    </row>
    <row r="87" spans="1:25" x14ac:dyDescent="0.25">
      <c r="P87" s="22"/>
      <c r="Q87" s="105"/>
      <c r="R87" s="105"/>
      <c r="S87" s="105"/>
      <c r="T87" s="21"/>
    </row>
    <row r="88" spans="1:25" ht="21" x14ac:dyDescent="0.35">
      <c r="A88" s="64" t="s">
        <v>212</v>
      </c>
      <c r="P88" s="22"/>
      <c r="Q88" s="105"/>
      <c r="R88" s="105"/>
      <c r="S88" s="105"/>
      <c r="T88" s="21"/>
    </row>
    <row r="89" spans="1:25" ht="18.75" x14ac:dyDescent="0.3">
      <c r="A89" s="65" t="s">
        <v>754</v>
      </c>
      <c r="P89" s="22"/>
      <c r="Q89" s="105"/>
      <c r="R89" s="105"/>
      <c r="S89" s="105"/>
      <c r="T89" s="21"/>
    </row>
    <row r="90" spans="1:25" ht="18.75" x14ac:dyDescent="0.3">
      <c r="M90" s="103"/>
      <c r="P90" s="104"/>
      <c r="Q90" s="104"/>
      <c r="R90" s="104"/>
      <c r="S90" s="104"/>
      <c r="T90" s="96"/>
      <c r="U90" s="254"/>
      <c r="V90" s="254"/>
      <c r="W90" s="254"/>
    </row>
    <row r="91" spans="1:25" ht="45" x14ac:dyDescent="0.25">
      <c r="A91" s="61" t="s">
        <v>2</v>
      </c>
      <c r="B91" s="61" t="s">
        <v>85</v>
      </c>
      <c r="C91" s="63" t="s">
        <v>681</v>
      </c>
      <c r="D91" s="62" t="s">
        <v>7</v>
      </c>
      <c r="E91" s="62" t="s">
        <v>8</v>
      </c>
      <c r="F91" s="62" t="s">
        <v>713</v>
      </c>
      <c r="G91" s="62" t="s">
        <v>4</v>
      </c>
      <c r="H91" s="62" t="s">
        <v>1</v>
      </c>
      <c r="I91" s="61" t="s">
        <v>558</v>
      </c>
      <c r="J91" s="61" t="s">
        <v>714</v>
      </c>
      <c r="K91" s="61" t="s">
        <v>709</v>
      </c>
      <c r="L91" s="61" t="s">
        <v>66</v>
      </c>
      <c r="M91" s="61" t="s">
        <v>157</v>
      </c>
      <c r="N91" s="63" t="s">
        <v>3</v>
      </c>
      <c r="O91" s="63" t="s">
        <v>704</v>
      </c>
      <c r="P91" s="63" t="s">
        <v>705</v>
      </c>
      <c r="Q91" s="63" t="s">
        <v>706</v>
      </c>
      <c r="R91" s="63" t="s">
        <v>710</v>
      </c>
      <c r="S91" s="63" t="s">
        <v>711</v>
      </c>
      <c r="T91" s="63" t="s">
        <v>707</v>
      </c>
      <c r="U91" s="63" t="s">
        <v>708</v>
      </c>
      <c r="V91" s="211" t="s">
        <v>797</v>
      </c>
      <c r="W91" s="211" t="s">
        <v>860</v>
      </c>
      <c r="X91" s="211" t="s">
        <v>861</v>
      </c>
    </row>
    <row r="92" spans="1:25" ht="30" x14ac:dyDescent="0.25">
      <c r="A92" s="66">
        <v>87</v>
      </c>
      <c r="B92" s="66">
        <v>1</v>
      </c>
      <c r="C92" s="68" t="s">
        <v>685</v>
      </c>
      <c r="D92" s="67" t="s">
        <v>213</v>
      </c>
      <c r="E92" s="67" t="s">
        <v>242</v>
      </c>
      <c r="F92" s="67" t="s">
        <v>785</v>
      </c>
      <c r="G92" s="67" t="s">
        <v>214</v>
      </c>
      <c r="H92" s="67"/>
      <c r="I92" s="66"/>
      <c r="J92" s="66" t="s">
        <v>84</v>
      </c>
      <c r="K92" s="66"/>
      <c r="L92" s="66" t="s">
        <v>819</v>
      </c>
      <c r="M92" s="66"/>
      <c r="N92" s="68"/>
      <c r="O92" s="133">
        <v>1</v>
      </c>
      <c r="P92" s="133">
        <f>COUNTA(Tab_Transport[[#This Row],[Investment]])</f>
        <v>0</v>
      </c>
      <c r="Q92" s="133">
        <f>COUNTA(Tab_Transport[[#This Row],[Lead department]])</f>
        <v>0</v>
      </c>
      <c r="R92" s="133">
        <f>COUNTA(Tab_Transport[[#This Row],[Spec target / outcomes]])</f>
        <v>1</v>
      </c>
      <c r="S92" s="133">
        <f>COUNTA(Tab_Transport[[#This Row],[Obligations]])</f>
        <v>0</v>
      </c>
      <c r="T92" s="133">
        <f t="shared" ref="T92:T123" si="4">COUNTIF(L92,"=Y")</f>
        <v>0</v>
      </c>
      <c r="U92" s="133">
        <f>COUNTIF(L92,"=Vehicle demand")+COUNTIF(L92,"=Efficiency")</f>
        <v>1</v>
      </c>
      <c r="V92" s="209">
        <f>IF(Tab_Transport[[#This Row],[Energy demand focus]]="Y",Tab_Transport[[#This Row],[Category]],0)</f>
        <v>0</v>
      </c>
      <c r="W92" s="209">
        <f>IF(Tab_Transport[[#This Row],[Energy demand focus]]="Y",Tab_Transport[[#This Row],[Investment]],0)</f>
        <v>0</v>
      </c>
      <c r="X92" s="209">
        <f>IF(U92=1,Tab_Transport[[#This Row],[Investment]],0)</f>
        <v>0</v>
      </c>
    </row>
    <row r="93" spans="1:25" ht="30" x14ac:dyDescent="0.25">
      <c r="A93" s="66">
        <v>87</v>
      </c>
      <c r="B93" s="66" t="s">
        <v>216</v>
      </c>
      <c r="C93" s="68" t="s">
        <v>685</v>
      </c>
      <c r="D93" s="67" t="s">
        <v>217</v>
      </c>
      <c r="E93" s="67" t="s">
        <v>122</v>
      </c>
      <c r="F93" s="67" t="s">
        <v>1</v>
      </c>
      <c r="G93" s="67"/>
      <c r="H93" s="67" t="s">
        <v>215</v>
      </c>
      <c r="I93" s="66"/>
      <c r="J93" s="66" t="s">
        <v>758</v>
      </c>
      <c r="K93" s="66"/>
      <c r="L93" s="66" t="s">
        <v>819</v>
      </c>
      <c r="M93" s="66"/>
      <c r="N93" s="68"/>
      <c r="O93" s="134">
        <v>0</v>
      </c>
      <c r="P93" s="134">
        <f>COUNTA(Tab_Transport[[#This Row],[Investment]])</f>
        <v>1</v>
      </c>
      <c r="Q93" s="134">
        <f>COUNTA(Tab_Transport[[#This Row],[Lead department]])</f>
        <v>0</v>
      </c>
      <c r="R93" s="133">
        <f>COUNTA(Tab_Transport[[#This Row],[Spec target / outcomes]])</f>
        <v>1</v>
      </c>
      <c r="S93" s="133">
        <f>COUNTA(Tab_Transport[[#This Row],[Obligations]])</f>
        <v>0</v>
      </c>
      <c r="T93" s="134">
        <f t="shared" si="4"/>
        <v>0</v>
      </c>
      <c r="U93" s="133">
        <f t="shared" ref="U93:U141" si="5">COUNTIF(L93,"=Vehicle demand")+COUNTIF(L93,"=Efficiency")</f>
        <v>1</v>
      </c>
      <c r="V93" s="208">
        <f>IF(Tab_Transport[[#This Row],[Energy demand focus]]="Y",Tab_Transport[[#This Row],[Category]],0)</f>
        <v>0</v>
      </c>
      <c r="W93" s="208">
        <f>IF(Tab_Transport[[#This Row],[Energy demand focus]]="Y",Tab_Transport[[#This Row],[Investment]],0)</f>
        <v>0</v>
      </c>
      <c r="X93" s="209" t="str">
        <f>IF(U93=1,Tab_Transport[[#This Row],[Investment]],0)</f>
        <v>£1 billion</v>
      </c>
    </row>
    <row r="94" spans="1:25" ht="30" x14ac:dyDescent="0.25">
      <c r="A94" s="66">
        <v>134</v>
      </c>
      <c r="B94" s="66"/>
      <c r="C94" s="68" t="s">
        <v>685</v>
      </c>
      <c r="D94" s="67" t="s">
        <v>614</v>
      </c>
      <c r="E94" s="67" t="s">
        <v>615</v>
      </c>
      <c r="F94" s="67" t="s">
        <v>784</v>
      </c>
      <c r="G94" s="67" t="s">
        <v>261</v>
      </c>
      <c r="H94" s="67"/>
      <c r="I94" s="66" t="s">
        <v>582</v>
      </c>
      <c r="J94" s="66"/>
      <c r="K94" s="66"/>
      <c r="L94" s="66" t="s">
        <v>819</v>
      </c>
      <c r="M94" s="66"/>
      <c r="N94" s="68"/>
      <c r="O94" s="134">
        <v>0</v>
      </c>
      <c r="P94" s="134">
        <f>COUNTA(Tab_Transport[[#This Row],[Investment]])</f>
        <v>0</v>
      </c>
      <c r="Q94" s="134">
        <f>COUNTA(Tab_Transport[[#This Row],[Lead department]])</f>
        <v>1</v>
      </c>
      <c r="R94" s="133">
        <f>COUNTA(Tab_Transport[[#This Row],[Spec target / outcomes]])</f>
        <v>0</v>
      </c>
      <c r="S94" s="133">
        <f>COUNTA(Tab_Transport[[#This Row],[Obligations]])</f>
        <v>0</v>
      </c>
      <c r="T94" s="134">
        <f t="shared" si="4"/>
        <v>0</v>
      </c>
      <c r="U94" s="133">
        <f t="shared" si="5"/>
        <v>1</v>
      </c>
      <c r="V94" s="208">
        <f>IF(Tab_Transport[[#This Row],[Energy demand focus]]="Y",Tab_Transport[[#This Row],[Category]],0)</f>
        <v>0</v>
      </c>
      <c r="W94" s="208">
        <f>IF(Tab_Transport[[#This Row],[Energy demand focus]]="Y",Tab_Transport[[#This Row],[Investment]],0)</f>
        <v>0</v>
      </c>
      <c r="X94" s="209">
        <f>IF(U94=1,Tab_Transport[[#This Row],[Investment]],0)</f>
        <v>0</v>
      </c>
    </row>
    <row r="95" spans="1:25" ht="30" x14ac:dyDescent="0.25">
      <c r="A95" s="66">
        <v>87</v>
      </c>
      <c r="B95" s="66" t="s">
        <v>149</v>
      </c>
      <c r="C95" s="68" t="s">
        <v>685</v>
      </c>
      <c r="D95" s="67" t="s">
        <v>218</v>
      </c>
      <c r="E95" s="67" t="s">
        <v>219</v>
      </c>
      <c r="F95" s="67" t="s">
        <v>130</v>
      </c>
      <c r="G95" s="67"/>
      <c r="H95" s="67"/>
      <c r="I95" s="66"/>
      <c r="J95" s="66"/>
      <c r="K95" s="66"/>
      <c r="L95" s="66" t="s">
        <v>351</v>
      </c>
      <c r="M95" s="66"/>
      <c r="N95" s="68"/>
      <c r="O95" s="134">
        <v>0</v>
      </c>
      <c r="P95" s="134">
        <f>COUNTA(Tab_Transport[[#This Row],[Investment]])</f>
        <v>0</v>
      </c>
      <c r="Q95" s="134">
        <f>COUNTA(Tab_Transport[[#This Row],[Lead department]])</f>
        <v>0</v>
      </c>
      <c r="R95" s="133">
        <f>COUNTA(Tab_Transport[[#This Row],[Spec target / outcomes]])</f>
        <v>0</v>
      </c>
      <c r="S95" s="133">
        <f>COUNTA(Tab_Transport[[#This Row],[Obligations]])</f>
        <v>0</v>
      </c>
      <c r="T95" s="134">
        <f t="shared" si="4"/>
        <v>0</v>
      </c>
      <c r="U95" s="133">
        <f t="shared" si="5"/>
        <v>0</v>
      </c>
      <c r="V95" s="208">
        <f>IF(Tab_Transport[[#This Row],[Energy demand focus]]="Y",Tab_Transport[[#This Row],[Category]],0)</f>
        <v>0</v>
      </c>
      <c r="W95" s="208">
        <f>IF(Tab_Transport[[#This Row],[Energy demand focus]]="Y",Tab_Transport[[#This Row],[Investment]],0)</f>
        <v>0</v>
      </c>
      <c r="X95" s="209">
        <f>IF(U95=1,Tab_Transport[[#This Row],[Investment]],0)</f>
        <v>0</v>
      </c>
    </row>
    <row r="96" spans="1:25" ht="60" x14ac:dyDescent="0.25">
      <c r="A96" s="66">
        <v>87</v>
      </c>
      <c r="B96" s="66" t="s">
        <v>150</v>
      </c>
      <c r="C96" s="68" t="s">
        <v>685</v>
      </c>
      <c r="D96" s="67" t="s">
        <v>221</v>
      </c>
      <c r="E96" s="67" t="s">
        <v>122</v>
      </c>
      <c r="F96" s="67" t="s">
        <v>1</v>
      </c>
      <c r="G96" s="67" t="s">
        <v>602</v>
      </c>
      <c r="H96" s="67" t="s">
        <v>220</v>
      </c>
      <c r="I96" s="66" t="s">
        <v>597</v>
      </c>
      <c r="J96" s="66" t="s">
        <v>84</v>
      </c>
      <c r="K96" s="66"/>
      <c r="L96" s="66" t="s">
        <v>351</v>
      </c>
      <c r="M96" s="66"/>
      <c r="N96" s="68"/>
      <c r="O96" s="134">
        <v>1</v>
      </c>
      <c r="P96" s="134">
        <f>COUNTA(Tab_Transport[[#This Row],[Investment]])</f>
        <v>1</v>
      </c>
      <c r="Q96" s="134">
        <f>COUNTA(Tab_Transport[[#This Row],[Lead department]])</f>
        <v>1</v>
      </c>
      <c r="R96" s="133">
        <f>COUNTA(Tab_Transport[[#This Row],[Spec target / outcomes]])</f>
        <v>1</v>
      </c>
      <c r="S96" s="133">
        <f>COUNTA(Tab_Transport[[#This Row],[Obligations]])</f>
        <v>0</v>
      </c>
      <c r="T96" s="134">
        <f t="shared" si="4"/>
        <v>0</v>
      </c>
      <c r="U96" s="133">
        <f t="shared" si="5"/>
        <v>0</v>
      </c>
      <c r="V96" s="208">
        <f>IF(Tab_Transport[[#This Row],[Energy demand focus]]="Y",Tab_Transport[[#This Row],[Category]],0)</f>
        <v>0</v>
      </c>
      <c r="W96" s="208">
        <f>IF(Tab_Transport[[#This Row],[Energy demand focus]]="Y",Tab_Transport[[#This Row],[Investment]],0)</f>
        <v>0</v>
      </c>
      <c r="X96" s="209">
        <f>IF(U96=1,Tab_Transport[[#This Row],[Investment]],0)</f>
        <v>0</v>
      </c>
    </row>
    <row r="97" spans="1:24" ht="60" x14ac:dyDescent="0.25">
      <c r="A97" s="66">
        <v>87</v>
      </c>
      <c r="B97" s="66" t="s">
        <v>222</v>
      </c>
      <c r="C97" s="68" t="s">
        <v>685</v>
      </c>
      <c r="D97" s="67" t="s">
        <v>243</v>
      </c>
      <c r="E97" s="67" t="s">
        <v>468</v>
      </c>
      <c r="F97" s="67" t="s">
        <v>785</v>
      </c>
      <c r="G97" s="67" t="s">
        <v>224</v>
      </c>
      <c r="H97" s="67"/>
      <c r="I97" s="66" t="s">
        <v>597</v>
      </c>
      <c r="J97" s="66" t="s">
        <v>718</v>
      </c>
      <c r="K97" s="66" t="s">
        <v>743</v>
      </c>
      <c r="L97" s="66" t="s">
        <v>351</v>
      </c>
      <c r="M97" s="66"/>
      <c r="N97" s="68"/>
      <c r="O97" s="134">
        <v>1</v>
      </c>
      <c r="P97" s="134">
        <f>COUNTA(Tab_Transport[[#This Row],[Investment]])</f>
        <v>0</v>
      </c>
      <c r="Q97" s="134">
        <f>COUNTA(Tab_Transport[[#This Row],[Lead department]])</f>
        <v>1</v>
      </c>
      <c r="R97" s="133">
        <f>COUNTA(Tab_Transport[[#This Row],[Spec target / outcomes]])</f>
        <v>1</v>
      </c>
      <c r="S97" s="133">
        <f>COUNTA(Tab_Transport[[#This Row],[Obligations]])</f>
        <v>1</v>
      </c>
      <c r="T97" s="134">
        <f t="shared" si="4"/>
        <v>0</v>
      </c>
      <c r="U97" s="133">
        <f t="shared" si="5"/>
        <v>0</v>
      </c>
      <c r="V97" s="208">
        <f>IF(Tab_Transport[[#This Row],[Energy demand focus]]="Y",Tab_Transport[[#This Row],[Category]],0)</f>
        <v>0</v>
      </c>
      <c r="W97" s="208">
        <f>IF(Tab_Transport[[#This Row],[Energy demand focus]]="Y",Tab_Transport[[#This Row],[Investment]],0)</f>
        <v>0</v>
      </c>
      <c r="X97" s="209">
        <f>IF(U97=1,Tab_Transport[[#This Row],[Investment]],0)</f>
        <v>0</v>
      </c>
    </row>
    <row r="98" spans="1:24" ht="30" x14ac:dyDescent="0.25">
      <c r="A98" s="66">
        <v>88</v>
      </c>
      <c r="B98" s="66" t="s">
        <v>223</v>
      </c>
      <c r="C98" s="68" t="s">
        <v>685</v>
      </c>
      <c r="D98" s="67" t="s">
        <v>225</v>
      </c>
      <c r="E98" s="67" t="s">
        <v>103</v>
      </c>
      <c r="F98" s="67" t="s">
        <v>785</v>
      </c>
      <c r="G98" s="67"/>
      <c r="H98" s="67"/>
      <c r="I98" s="66"/>
      <c r="J98" s="66"/>
      <c r="K98" s="66"/>
      <c r="L98" s="66" t="s">
        <v>351</v>
      </c>
      <c r="M98" s="66"/>
      <c r="N98" s="68"/>
      <c r="O98" s="134">
        <v>0</v>
      </c>
      <c r="P98" s="134">
        <f>COUNTA(Tab_Transport[[#This Row],[Investment]])</f>
        <v>0</v>
      </c>
      <c r="Q98" s="134">
        <f>COUNTA(Tab_Transport[[#This Row],[Lead department]])</f>
        <v>0</v>
      </c>
      <c r="R98" s="133">
        <f>COUNTA(Tab_Transport[[#This Row],[Spec target / outcomes]])</f>
        <v>0</v>
      </c>
      <c r="S98" s="133">
        <f>COUNTA(Tab_Transport[[#This Row],[Obligations]])</f>
        <v>0</v>
      </c>
      <c r="T98" s="134">
        <f t="shared" si="4"/>
        <v>0</v>
      </c>
      <c r="U98" s="133">
        <f t="shared" si="5"/>
        <v>0</v>
      </c>
      <c r="V98" s="208">
        <f>IF(Tab_Transport[[#This Row],[Energy demand focus]]="Y",Tab_Transport[[#This Row],[Category]],0)</f>
        <v>0</v>
      </c>
      <c r="W98" s="208">
        <f>IF(Tab_Transport[[#This Row],[Energy demand focus]]="Y",Tab_Transport[[#This Row],[Investment]],0)</f>
        <v>0</v>
      </c>
      <c r="X98" s="209">
        <f>IF(U98=1,Tab_Transport[[#This Row],[Investment]],0)</f>
        <v>0</v>
      </c>
    </row>
    <row r="99" spans="1:24" ht="120" x14ac:dyDescent="0.25">
      <c r="A99" s="66">
        <v>88</v>
      </c>
      <c r="B99" s="66">
        <v>5</v>
      </c>
      <c r="C99" s="68" t="s">
        <v>685</v>
      </c>
      <c r="D99" s="67" t="s">
        <v>226</v>
      </c>
      <c r="E99" s="67" t="s">
        <v>122</v>
      </c>
      <c r="F99" s="67" t="s">
        <v>1</v>
      </c>
      <c r="G99" s="67"/>
      <c r="H99" s="67" t="s">
        <v>227</v>
      </c>
      <c r="I99" s="66"/>
      <c r="J99" s="66" t="s">
        <v>744</v>
      </c>
      <c r="K99" s="66"/>
      <c r="L99" s="66" t="s">
        <v>819</v>
      </c>
      <c r="M99" s="66"/>
      <c r="N99" s="68"/>
      <c r="O99" s="134">
        <v>0</v>
      </c>
      <c r="P99" s="134">
        <f>COUNTA(Tab_Transport[[#This Row],[Investment]])</f>
        <v>1</v>
      </c>
      <c r="Q99" s="134">
        <f>COUNTA(Tab_Transport[[#This Row],[Lead department]])</f>
        <v>0</v>
      </c>
      <c r="R99" s="133">
        <f>COUNTA(Tab_Transport[[#This Row],[Spec target / outcomes]])</f>
        <v>1</v>
      </c>
      <c r="S99" s="133">
        <f>COUNTA(Tab_Transport[[#This Row],[Obligations]])</f>
        <v>0</v>
      </c>
      <c r="T99" s="134">
        <f t="shared" si="4"/>
        <v>0</v>
      </c>
      <c r="U99" s="133">
        <f t="shared" si="5"/>
        <v>1</v>
      </c>
      <c r="V99" s="208">
        <f>IF(Tab_Transport[[#This Row],[Energy demand focus]]="Y",Tab_Transport[[#This Row],[Category]],0)</f>
        <v>0</v>
      </c>
      <c r="W99" s="208">
        <f>IF(Tab_Transport[[#This Row],[Energy demand focus]]="Y",Tab_Transport[[#This Row],[Investment]],0)</f>
        <v>0</v>
      </c>
      <c r="X99" s="209" t="str">
        <f>IF(U99=1,Tab_Transport[[#This Row],[Investment]],0)</f>
        <v>£4.8 million HTAP + £2 million FCEVFSS + £23 million new scheme</v>
      </c>
    </row>
    <row r="100" spans="1:24" ht="45" x14ac:dyDescent="0.25">
      <c r="A100" s="66">
        <v>88</v>
      </c>
      <c r="B100" s="66" t="s">
        <v>229</v>
      </c>
      <c r="C100" s="68" t="s">
        <v>685</v>
      </c>
      <c r="D100" s="67" t="s">
        <v>228</v>
      </c>
      <c r="E100" s="67" t="s">
        <v>172</v>
      </c>
      <c r="F100" s="67" t="s">
        <v>785</v>
      </c>
      <c r="G100" s="67"/>
      <c r="H100" s="67"/>
      <c r="I100" s="66"/>
      <c r="J100" s="66"/>
      <c r="K100" s="66" t="s">
        <v>745</v>
      </c>
      <c r="L100" s="66" t="s">
        <v>819</v>
      </c>
      <c r="M100" s="66"/>
      <c r="N100" s="68"/>
      <c r="O100" s="134">
        <v>0</v>
      </c>
      <c r="P100" s="134">
        <f>COUNTA(Tab_Transport[[#This Row],[Investment]])</f>
        <v>0</v>
      </c>
      <c r="Q100" s="134">
        <f>COUNTA(Tab_Transport[[#This Row],[Lead department]])</f>
        <v>0</v>
      </c>
      <c r="R100" s="133">
        <f>COUNTA(Tab_Transport[[#This Row],[Spec target / outcomes]])</f>
        <v>0</v>
      </c>
      <c r="S100" s="133">
        <f>COUNTA(Tab_Transport[[#This Row],[Obligations]])</f>
        <v>1</v>
      </c>
      <c r="T100" s="134">
        <f t="shared" si="4"/>
        <v>0</v>
      </c>
      <c r="U100" s="133">
        <f t="shared" si="5"/>
        <v>1</v>
      </c>
      <c r="V100" s="208">
        <f>IF(Tab_Transport[[#This Row],[Energy demand focus]]="Y",Tab_Transport[[#This Row],[Category]],0)</f>
        <v>0</v>
      </c>
      <c r="W100" s="208">
        <f>IF(Tab_Transport[[#This Row],[Energy demand focus]]="Y",Tab_Transport[[#This Row],[Investment]],0)</f>
        <v>0</v>
      </c>
      <c r="X100" s="209">
        <f>IF(U100=1,Tab_Transport[[#This Row],[Investment]],0)</f>
        <v>0</v>
      </c>
    </row>
    <row r="101" spans="1:24" ht="30" x14ac:dyDescent="0.25">
      <c r="A101" s="66">
        <v>88</v>
      </c>
      <c r="B101" s="66" t="s">
        <v>230</v>
      </c>
      <c r="C101" s="68" t="s">
        <v>685</v>
      </c>
      <c r="D101" s="67" t="s">
        <v>244</v>
      </c>
      <c r="E101" s="67" t="s">
        <v>15</v>
      </c>
      <c r="F101" s="67" t="s">
        <v>785</v>
      </c>
      <c r="G101" s="67" t="s">
        <v>761</v>
      </c>
      <c r="H101" s="67"/>
      <c r="I101" s="66" t="s">
        <v>607</v>
      </c>
      <c r="J101" s="66"/>
      <c r="K101" s="66" t="s">
        <v>746</v>
      </c>
      <c r="L101" s="66" t="s">
        <v>819</v>
      </c>
      <c r="M101" s="66"/>
      <c r="N101" s="68"/>
      <c r="O101" s="134">
        <v>1</v>
      </c>
      <c r="P101" s="134">
        <f>COUNTA(Tab_Transport[[#This Row],[Investment]])</f>
        <v>0</v>
      </c>
      <c r="Q101" s="134">
        <f>COUNTA(Tab_Transport[[#This Row],[Lead department]])</f>
        <v>1</v>
      </c>
      <c r="R101" s="133">
        <f>COUNTA(Tab_Transport[[#This Row],[Spec target / outcomes]])</f>
        <v>0</v>
      </c>
      <c r="S101" s="133">
        <f>COUNTA(Tab_Transport[[#This Row],[Obligations]])</f>
        <v>1</v>
      </c>
      <c r="T101" s="134">
        <f t="shared" si="4"/>
        <v>0</v>
      </c>
      <c r="U101" s="133">
        <f t="shared" si="5"/>
        <v>1</v>
      </c>
      <c r="V101" s="208">
        <f>IF(Tab_Transport[[#This Row],[Energy demand focus]]="Y",Tab_Transport[[#This Row],[Category]],0)</f>
        <v>0</v>
      </c>
      <c r="W101" s="208">
        <f>IF(Tab_Transport[[#This Row],[Energy demand focus]]="Y",Tab_Transport[[#This Row],[Investment]],0)</f>
        <v>0</v>
      </c>
      <c r="X101" s="209">
        <f>IF(U101=1,Tab_Transport[[#This Row],[Investment]],0)</f>
        <v>0</v>
      </c>
    </row>
    <row r="102" spans="1:24" ht="30" x14ac:dyDescent="0.25">
      <c r="A102" s="66">
        <v>88</v>
      </c>
      <c r="B102" s="66" t="s">
        <v>232</v>
      </c>
      <c r="C102" s="68" t="s">
        <v>685</v>
      </c>
      <c r="D102" s="67" t="s">
        <v>231</v>
      </c>
      <c r="E102" s="67" t="s">
        <v>122</v>
      </c>
      <c r="F102" s="67" t="s">
        <v>1</v>
      </c>
      <c r="G102" s="67"/>
      <c r="H102" s="67" t="s">
        <v>235</v>
      </c>
      <c r="I102" s="66"/>
      <c r="J102" s="66"/>
      <c r="K102" s="66"/>
      <c r="L102" s="66" t="s">
        <v>819</v>
      </c>
      <c r="M102" s="66"/>
      <c r="N102" s="68"/>
      <c r="O102" s="134">
        <v>0</v>
      </c>
      <c r="P102" s="134">
        <f>COUNTA(Tab_Transport[[#This Row],[Investment]])</f>
        <v>1</v>
      </c>
      <c r="Q102" s="134">
        <f>COUNTA(Tab_Transport[[#This Row],[Lead department]])</f>
        <v>0</v>
      </c>
      <c r="R102" s="133">
        <f>COUNTA(Tab_Transport[[#This Row],[Spec target / outcomes]])</f>
        <v>0</v>
      </c>
      <c r="S102" s="133">
        <f>COUNTA(Tab_Transport[[#This Row],[Obligations]])</f>
        <v>0</v>
      </c>
      <c r="T102" s="134">
        <f t="shared" si="4"/>
        <v>0</v>
      </c>
      <c r="U102" s="133">
        <f t="shared" si="5"/>
        <v>1</v>
      </c>
      <c r="V102" s="208">
        <f>IF(Tab_Transport[[#This Row],[Energy demand focus]]="Y",Tab_Transport[[#This Row],[Category]],0)</f>
        <v>0</v>
      </c>
      <c r="W102" s="208">
        <f>IF(Tab_Transport[[#This Row],[Energy demand focus]]="Y",Tab_Transport[[#This Row],[Investment]],0)</f>
        <v>0</v>
      </c>
      <c r="X102" s="209" t="str">
        <f>IF(U102=1,Tab_Transport[[#This Row],[Investment]],0)</f>
        <v>£50 million</v>
      </c>
    </row>
    <row r="103" spans="1:24" ht="30" x14ac:dyDescent="0.25">
      <c r="A103" s="66">
        <v>88</v>
      </c>
      <c r="B103" s="66" t="s">
        <v>233</v>
      </c>
      <c r="C103" s="68" t="s">
        <v>685</v>
      </c>
      <c r="D103" s="67" t="s">
        <v>234</v>
      </c>
      <c r="E103" s="67" t="s">
        <v>122</v>
      </c>
      <c r="F103" s="67" t="s">
        <v>1</v>
      </c>
      <c r="G103" s="67"/>
      <c r="H103" s="67" t="s">
        <v>236</v>
      </c>
      <c r="I103" s="66"/>
      <c r="J103" s="66" t="s">
        <v>718</v>
      </c>
      <c r="K103" s="66"/>
      <c r="L103" s="66" t="s">
        <v>351</v>
      </c>
      <c r="M103" s="66"/>
      <c r="N103" s="68"/>
      <c r="O103" s="134">
        <v>0</v>
      </c>
      <c r="P103" s="134">
        <f>COUNTA(Tab_Transport[[#This Row],[Investment]])</f>
        <v>1</v>
      </c>
      <c r="Q103" s="134">
        <f>COUNTA(Tab_Transport[[#This Row],[Lead department]])</f>
        <v>0</v>
      </c>
      <c r="R103" s="133">
        <f>COUNTA(Tab_Transport[[#This Row],[Spec target / outcomes]])</f>
        <v>1</v>
      </c>
      <c r="S103" s="133">
        <f>COUNTA(Tab_Transport[[#This Row],[Obligations]])</f>
        <v>0</v>
      </c>
      <c r="T103" s="134">
        <f t="shared" si="4"/>
        <v>0</v>
      </c>
      <c r="U103" s="133">
        <f t="shared" si="5"/>
        <v>0</v>
      </c>
      <c r="V103" s="208">
        <f>IF(Tab_Transport[[#This Row],[Energy demand focus]]="Y",Tab_Transport[[#This Row],[Category]],0)</f>
        <v>0</v>
      </c>
      <c r="W103" s="208">
        <f>IF(Tab_Transport[[#This Row],[Energy demand focus]]="Y",Tab_Transport[[#This Row],[Investment]],0)</f>
        <v>0</v>
      </c>
      <c r="X103" s="209">
        <f>IF(U103=1,Tab_Transport[[#This Row],[Investment]],0)</f>
        <v>0</v>
      </c>
    </row>
    <row r="104" spans="1:24" ht="45" x14ac:dyDescent="0.25">
      <c r="A104" s="66">
        <v>88</v>
      </c>
      <c r="B104" s="66" t="s">
        <v>237</v>
      </c>
      <c r="C104" s="68" t="s">
        <v>685</v>
      </c>
      <c r="D104" s="67" t="s">
        <v>747</v>
      </c>
      <c r="E104" s="67" t="s">
        <v>238</v>
      </c>
      <c r="F104" s="67" t="s">
        <v>719</v>
      </c>
      <c r="G104" s="67"/>
      <c r="H104" s="67"/>
      <c r="I104" s="66"/>
      <c r="J104" s="66" t="s">
        <v>84</v>
      </c>
      <c r="K104" s="66" t="s">
        <v>719</v>
      </c>
      <c r="L104" s="66" t="s">
        <v>819</v>
      </c>
      <c r="M104" s="66"/>
      <c r="N104" s="68"/>
      <c r="O104" s="134">
        <v>0</v>
      </c>
      <c r="P104" s="134">
        <f>COUNTA(Tab_Transport[[#This Row],[Investment]])</f>
        <v>0</v>
      </c>
      <c r="Q104" s="134">
        <f>COUNTA(Tab_Transport[[#This Row],[Lead department]])</f>
        <v>0</v>
      </c>
      <c r="R104" s="133">
        <f>COUNTA(Tab_Transport[[#This Row],[Spec target / outcomes]])</f>
        <v>1</v>
      </c>
      <c r="S104" s="133">
        <f>COUNTA(Tab_Transport[[#This Row],[Obligations]])</f>
        <v>1</v>
      </c>
      <c r="T104" s="134">
        <f t="shared" si="4"/>
        <v>0</v>
      </c>
      <c r="U104" s="133">
        <f t="shared" si="5"/>
        <v>1</v>
      </c>
      <c r="V104" s="208">
        <f>IF(Tab_Transport[[#This Row],[Energy demand focus]]="Y",Tab_Transport[[#This Row],[Category]],0)</f>
        <v>0</v>
      </c>
      <c r="W104" s="208">
        <f>IF(Tab_Transport[[#This Row],[Energy demand focus]]="Y",Tab_Transport[[#This Row],[Investment]],0)</f>
        <v>0</v>
      </c>
      <c r="X104" s="209">
        <f>IF(U104=1,Tab_Transport[[#This Row],[Investment]],0)</f>
        <v>0</v>
      </c>
    </row>
    <row r="105" spans="1:24" ht="30" x14ac:dyDescent="0.25">
      <c r="A105" s="66">
        <v>89</v>
      </c>
      <c r="B105" s="66">
        <v>8</v>
      </c>
      <c r="C105" s="68" t="s">
        <v>685</v>
      </c>
      <c r="D105" s="67" t="s">
        <v>821</v>
      </c>
      <c r="E105" s="67" t="s">
        <v>19</v>
      </c>
      <c r="F105" s="67" t="s">
        <v>19</v>
      </c>
      <c r="G105" s="67" t="s">
        <v>239</v>
      </c>
      <c r="H105" s="67"/>
      <c r="I105" s="66"/>
      <c r="J105" s="66"/>
      <c r="K105" s="66"/>
      <c r="L105" s="66" t="s">
        <v>819</v>
      </c>
      <c r="M105" s="66"/>
      <c r="N105" s="68"/>
      <c r="O105" s="134">
        <v>1</v>
      </c>
      <c r="P105" s="134">
        <f>COUNTA(Tab_Transport[[#This Row],[Investment]])</f>
        <v>0</v>
      </c>
      <c r="Q105" s="134">
        <f>COUNTA(Tab_Transport[[#This Row],[Lead department]])</f>
        <v>0</v>
      </c>
      <c r="R105" s="133">
        <f>COUNTA(Tab_Transport[[#This Row],[Spec target / outcomes]])</f>
        <v>0</v>
      </c>
      <c r="S105" s="133">
        <f>COUNTA(Tab_Transport[[#This Row],[Obligations]])</f>
        <v>0</v>
      </c>
      <c r="T105" s="134">
        <f t="shared" si="4"/>
        <v>0</v>
      </c>
      <c r="U105" s="133">
        <f t="shared" si="5"/>
        <v>1</v>
      </c>
      <c r="V105" s="208">
        <f>IF(Tab_Transport[[#This Row],[Energy demand focus]]="Y",Tab_Transport[[#This Row],[Category]],0)</f>
        <v>0</v>
      </c>
      <c r="W105" s="208">
        <f>IF(Tab_Transport[[#This Row],[Energy demand focus]]="Y",Tab_Transport[[#This Row],[Investment]],0)</f>
        <v>0</v>
      </c>
      <c r="X105" s="209">
        <f>IF(U105=1,Tab_Transport[[#This Row],[Investment]],0)</f>
        <v>0</v>
      </c>
    </row>
    <row r="106" spans="1:24" ht="30" x14ac:dyDescent="0.25">
      <c r="A106" s="66">
        <v>89</v>
      </c>
      <c r="B106" s="66">
        <v>9</v>
      </c>
      <c r="C106" s="68" t="s">
        <v>685</v>
      </c>
      <c r="D106" s="67" t="s">
        <v>605</v>
      </c>
      <c r="E106" s="67" t="s">
        <v>606</v>
      </c>
      <c r="F106" s="67" t="s">
        <v>786</v>
      </c>
      <c r="G106" s="69" t="s">
        <v>240</v>
      </c>
      <c r="H106" s="67"/>
      <c r="I106" s="66" t="s">
        <v>597</v>
      </c>
      <c r="J106" s="66"/>
      <c r="K106" s="66"/>
      <c r="L106" s="66" t="s">
        <v>819</v>
      </c>
      <c r="M106" s="66" t="s">
        <v>477</v>
      </c>
      <c r="N106" s="68" t="s">
        <v>827</v>
      </c>
      <c r="O106" s="134">
        <v>1</v>
      </c>
      <c r="P106" s="134">
        <f>COUNTA(Tab_Transport[[#This Row],[Investment]])</f>
        <v>0</v>
      </c>
      <c r="Q106" s="134">
        <f>COUNTA(Tab_Transport[[#This Row],[Lead department]])</f>
        <v>1</v>
      </c>
      <c r="R106" s="133">
        <f>COUNTA(Tab_Transport[[#This Row],[Spec target / outcomes]])</f>
        <v>0</v>
      </c>
      <c r="S106" s="133">
        <f>COUNTA(Tab_Transport[[#This Row],[Obligations]])</f>
        <v>0</v>
      </c>
      <c r="T106" s="134">
        <f t="shared" si="4"/>
        <v>0</v>
      </c>
      <c r="U106" s="133">
        <f t="shared" si="5"/>
        <v>1</v>
      </c>
      <c r="V106" s="208">
        <f>IF(Tab_Transport[[#This Row],[Energy demand focus]]="Y",Tab_Transport[[#This Row],[Category]],0)</f>
        <v>0</v>
      </c>
      <c r="W106" s="208">
        <f>IF(Tab_Transport[[#This Row],[Energy demand focus]]="Y",Tab_Transport[[#This Row],[Investment]],0)</f>
        <v>0</v>
      </c>
      <c r="X106" s="209">
        <f>IF(U106=1,Tab_Transport[[#This Row],[Investment]],0)</f>
        <v>0</v>
      </c>
    </row>
    <row r="107" spans="1:24" ht="45" x14ac:dyDescent="0.25">
      <c r="A107" s="66">
        <v>89</v>
      </c>
      <c r="B107" s="66">
        <v>10</v>
      </c>
      <c r="C107" s="68" t="s">
        <v>686</v>
      </c>
      <c r="D107" s="67" t="s">
        <v>818</v>
      </c>
      <c r="E107" s="67" t="s">
        <v>241</v>
      </c>
      <c r="F107" s="67" t="s">
        <v>388</v>
      </c>
      <c r="G107" s="67" t="s">
        <v>472</v>
      </c>
      <c r="H107" s="67"/>
      <c r="I107" s="66"/>
      <c r="J107" s="66"/>
      <c r="K107" s="66"/>
      <c r="L107" s="66" t="s">
        <v>819</v>
      </c>
      <c r="M107" s="66"/>
      <c r="N107" s="68"/>
      <c r="O107" s="134">
        <v>1</v>
      </c>
      <c r="P107" s="134">
        <f>COUNTA(Tab_Transport[[#This Row],[Investment]])</f>
        <v>0</v>
      </c>
      <c r="Q107" s="134">
        <f>COUNTA(Tab_Transport[[#This Row],[Lead department]])</f>
        <v>0</v>
      </c>
      <c r="R107" s="133">
        <f>COUNTA(Tab_Transport[[#This Row],[Spec target / outcomes]])</f>
        <v>0</v>
      </c>
      <c r="S107" s="133">
        <f>COUNTA(Tab_Transport[[#This Row],[Obligations]])</f>
        <v>0</v>
      </c>
      <c r="T107" s="134">
        <f t="shared" si="4"/>
        <v>0</v>
      </c>
      <c r="U107" s="133">
        <f t="shared" si="5"/>
        <v>1</v>
      </c>
      <c r="V107" s="208">
        <f>IF(Tab_Transport[[#This Row],[Energy demand focus]]="Y",Tab_Transport[[#This Row],[Category]],0)</f>
        <v>0</v>
      </c>
      <c r="W107" s="208">
        <f>IF(Tab_Transport[[#This Row],[Energy demand focus]]="Y",Tab_Transport[[#This Row],[Investment]],0)</f>
        <v>0</v>
      </c>
      <c r="X107" s="209">
        <f>IF(U107=1,Tab_Transport[[#This Row],[Investment]],0)</f>
        <v>0</v>
      </c>
    </row>
    <row r="108" spans="1:24" ht="30" x14ac:dyDescent="0.25">
      <c r="A108" s="66">
        <v>89</v>
      </c>
      <c r="B108" s="66">
        <v>11</v>
      </c>
      <c r="C108" s="68" t="s">
        <v>687</v>
      </c>
      <c r="D108" s="67" t="s">
        <v>245</v>
      </c>
      <c r="E108" s="67" t="s">
        <v>122</v>
      </c>
      <c r="F108" s="67" t="s">
        <v>1</v>
      </c>
      <c r="G108" s="67" t="s">
        <v>474</v>
      </c>
      <c r="H108" s="67"/>
      <c r="I108" s="66"/>
      <c r="J108" s="66"/>
      <c r="K108" s="66"/>
      <c r="L108" s="66" t="s">
        <v>819</v>
      </c>
      <c r="M108" s="66"/>
      <c r="N108" s="68"/>
      <c r="O108" s="134">
        <v>1</v>
      </c>
      <c r="P108" s="134">
        <f>COUNTA(Tab_Transport[[#This Row],[Investment]])</f>
        <v>0</v>
      </c>
      <c r="Q108" s="134">
        <f>COUNTA(Tab_Transport[[#This Row],[Lead department]])</f>
        <v>0</v>
      </c>
      <c r="R108" s="133">
        <f>COUNTA(Tab_Transport[[#This Row],[Spec target / outcomes]])</f>
        <v>0</v>
      </c>
      <c r="S108" s="133">
        <f>COUNTA(Tab_Transport[[#This Row],[Obligations]])</f>
        <v>0</v>
      </c>
      <c r="T108" s="134">
        <f t="shared" si="4"/>
        <v>0</v>
      </c>
      <c r="U108" s="133">
        <f t="shared" si="5"/>
        <v>1</v>
      </c>
      <c r="V108" s="208">
        <f>IF(Tab_Transport[[#This Row],[Energy demand focus]]="Y",Tab_Transport[[#This Row],[Category]],0)</f>
        <v>0</v>
      </c>
      <c r="W108" s="208">
        <f>IF(Tab_Transport[[#This Row],[Energy demand focus]]="Y",Tab_Transport[[#This Row],[Investment]],0)</f>
        <v>0</v>
      </c>
      <c r="X108" s="209">
        <f>IF(U108=1,Tab_Transport[[#This Row],[Investment]],0)</f>
        <v>0</v>
      </c>
    </row>
    <row r="109" spans="1:24" ht="45" x14ac:dyDescent="0.25">
      <c r="A109" s="66">
        <v>89</v>
      </c>
      <c r="B109" s="66">
        <v>12</v>
      </c>
      <c r="C109" s="68" t="s">
        <v>687</v>
      </c>
      <c r="D109" s="67" t="s">
        <v>247</v>
      </c>
      <c r="E109" s="67" t="s">
        <v>246</v>
      </c>
      <c r="F109" s="67" t="s">
        <v>785</v>
      </c>
      <c r="G109" s="67" t="s">
        <v>92</v>
      </c>
      <c r="H109" s="67"/>
      <c r="I109" s="66"/>
      <c r="J109" s="66" t="s">
        <v>84</v>
      </c>
      <c r="K109" s="66"/>
      <c r="L109" s="66" t="s">
        <v>84</v>
      </c>
      <c r="M109" s="66"/>
      <c r="N109" s="68" t="s">
        <v>293</v>
      </c>
      <c r="O109" s="134">
        <v>1</v>
      </c>
      <c r="P109" s="134">
        <f>COUNTA(Tab_Transport[[#This Row],[Investment]])</f>
        <v>0</v>
      </c>
      <c r="Q109" s="134">
        <f>COUNTA(Tab_Transport[[#This Row],[Lead department]])</f>
        <v>0</v>
      </c>
      <c r="R109" s="133">
        <f>COUNTA(Tab_Transport[[#This Row],[Spec target / outcomes]])</f>
        <v>1</v>
      </c>
      <c r="S109" s="133">
        <f>COUNTA(Tab_Transport[[#This Row],[Obligations]])</f>
        <v>0</v>
      </c>
      <c r="T109" s="134">
        <f t="shared" si="4"/>
        <v>1</v>
      </c>
      <c r="U109" s="133">
        <f t="shared" si="5"/>
        <v>0</v>
      </c>
      <c r="V109" s="208" t="str">
        <f>IF(Tab_Transport[[#This Row],[Energy demand focus]]="Y",Tab_Transport[[#This Row],[Category]],0)</f>
        <v>Regulatory</v>
      </c>
      <c r="W109" s="208">
        <f>IF(Tab_Transport[[#This Row],[Energy demand focus]]="Y",Tab_Transport[[#This Row],[Investment]],0)</f>
        <v>0</v>
      </c>
      <c r="X109" s="209">
        <f>IF(U109=1,Tab_Transport[[#This Row],[Investment]],0)</f>
        <v>0</v>
      </c>
    </row>
    <row r="110" spans="1:24" ht="30" x14ac:dyDescent="0.25">
      <c r="A110" s="66">
        <v>89</v>
      </c>
      <c r="B110" s="66" t="s">
        <v>249</v>
      </c>
      <c r="C110" s="68" t="s">
        <v>687</v>
      </c>
      <c r="D110" s="67" t="s">
        <v>248</v>
      </c>
      <c r="E110" s="67" t="s">
        <v>251</v>
      </c>
      <c r="F110" s="67" t="s">
        <v>19</v>
      </c>
      <c r="G110" s="67" t="s">
        <v>604</v>
      </c>
      <c r="H110" s="67"/>
      <c r="I110" s="66" t="s">
        <v>597</v>
      </c>
      <c r="J110" s="66"/>
      <c r="K110" s="66"/>
      <c r="L110" s="66" t="s">
        <v>84</v>
      </c>
      <c r="M110" s="66"/>
      <c r="N110" s="68"/>
      <c r="O110" s="134">
        <v>1</v>
      </c>
      <c r="P110" s="134">
        <f>COUNTA(Tab_Transport[[#This Row],[Investment]])</f>
        <v>0</v>
      </c>
      <c r="Q110" s="134">
        <f>COUNTA(Tab_Transport[[#This Row],[Lead department]])</f>
        <v>1</v>
      </c>
      <c r="R110" s="133">
        <f>COUNTA(Tab_Transport[[#This Row],[Spec target / outcomes]])</f>
        <v>0</v>
      </c>
      <c r="S110" s="133">
        <f>COUNTA(Tab_Transport[[#This Row],[Obligations]])</f>
        <v>0</v>
      </c>
      <c r="T110" s="134">
        <f t="shared" si="4"/>
        <v>1</v>
      </c>
      <c r="U110" s="133">
        <f t="shared" si="5"/>
        <v>0</v>
      </c>
      <c r="V110" s="208" t="str">
        <f>IF(Tab_Transport[[#This Row],[Energy demand focus]]="Y",Tab_Transport[[#This Row],[Category]],0)</f>
        <v>Information</v>
      </c>
      <c r="W110" s="208">
        <f>IF(Tab_Transport[[#This Row],[Energy demand focus]]="Y",Tab_Transport[[#This Row],[Investment]],0)</f>
        <v>0</v>
      </c>
      <c r="X110" s="209">
        <f>IF(U110=1,Tab_Transport[[#This Row],[Investment]],0)</f>
        <v>0</v>
      </c>
    </row>
    <row r="111" spans="1:24" ht="30" x14ac:dyDescent="0.25">
      <c r="A111" s="66">
        <v>89</v>
      </c>
      <c r="B111" s="66" t="s">
        <v>250</v>
      </c>
      <c r="C111" s="68" t="s">
        <v>687</v>
      </c>
      <c r="D111" s="67" t="s">
        <v>294</v>
      </c>
      <c r="E111" s="67" t="s">
        <v>130</v>
      </c>
      <c r="F111" s="67" t="s">
        <v>130</v>
      </c>
      <c r="G111" s="67" t="s">
        <v>473</v>
      </c>
      <c r="H111" s="67"/>
      <c r="I111" s="66"/>
      <c r="J111" s="66"/>
      <c r="K111" s="66"/>
      <c r="L111" s="66" t="s">
        <v>192</v>
      </c>
      <c r="M111" s="66" t="s">
        <v>476</v>
      </c>
      <c r="N111" s="68" t="s">
        <v>827</v>
      </c>
      <c r="O111" s="134">
        <v>1</v>
      </c>
      <c r="P111" s="134">
        <f>COUNTA(Tab_Transport[[#This Row],[Investment]])</f>
        <v>0</v>
      </c>
      <c r="Q111" s="134">
        <f>COUNTA(Tab_Transport[[#This Row],[Lead department]])</f>
        <v>0</v>
      </c>
      <c r="R111" s="133">
        <f>COUNTA(Tab_Transport[[#This Row],[Spec target / outcomes]])</f>
        <v>0</v>
      </c>
      <c r="S111" s="133">
        <f>COUNTA(Tab_Transport[[#This Row],[Obligations]])</f>
        <v>0</v>
      </c>
      <c r="T111" s="134">
        <f t="shared" si="4"/>
        <v>0</v>
      </c>
      <c r="U111" s="133">
        <f t="shared" si="5"/>
        <v>0</v>
      </c>
      <c r="V111" s="208">
        <f>IF(Tab_Transport[[#This Row],[Energy demand focus]]="Y",Tab_Transport[[#This Row],[Category]],0)</f>
        <v>0</v>
      </c>
      <c r="W111" s="208">
        <f>IF(Tab_Transport[[#This Row],[Energy demand focus]]="Y",Tab_Transport[[#This Row],[Investment]],0)</f>
        <v>0</v>
      </c>
      <c r="X111" s="209">
        <f>IF(U111=1,Tab_Transport[[#This Row],[Investment]],0)</f>
        <v>0</v>
      </c>
    </row>
    <row r="112" spans="1:24" ht="45" x14ac:dyDescent="0.25">
      <c r="A112" s="66">
        <v>89</v>
      </c>
      <c r="B112" s="66">
        <v>14</v>
      </c>
      <c r="C112" s="68" t="s">
        <v>687</v>
      </c>
      <c r="D112" s="67" t="s">
        <v>252</v>
      </c>
      <c r="E112" s="67" t="s">
        <v>14</v>
      </c>
      <c r="F112" s="67" t="s">
        <v>14</v>
      </c>
      <c r="G112" s="67"/>
      <c r="H112" s="67"/>
      <c r="I112" s="66"/>
      <c r="J112" s="66" t="s">
        <v>718</v>
      </c>
      <c r="K112" s="66"/>
      <c r="L112" s="66" t="s">
        <v>84</v>
      </c>
      <c r="M112" s="66"/>
      <c r="N112" s="68" t="s">
        <v>86</v>
      </c>
      <c r="O112" s="134">
        <v>0</v>
      </c>
      <c r="P112" s="134">
        <f>COUNTA(Tab_Transport[[#This Row],[Investment]])</f>
        <v>0</v>
      </c>
      <c r="Q112" s="134">
        <f>COUNTA(Tab_Transport[[#This Row],[Lead department]])</f>
        <v>0</v>
      </c>
      <c r="R112" s="133">
        <f>COUNTA(Tab_Transport[[#This Row],[Spec target / outcomes]])</f>
        <v>1</v>
      </c>
      <c r="S112" s="133">
        <f>COUNTA(Tab_Transport[[#This Row],[Obligations]])</f>
        <v>0</v>
      </c>
      <c r="T112" s="134">
        <f t="shared" si="4"/>
        <v>1</v>
      </c>
      <c r="U112" s="133">
        <f t="shared" si="5"/>
        <v>0</v>
      </c>
      <c r="V112" s="208" t="str">
        <f>IF(Tab_Transport[[#This Row],[Energy demand focus]]="Y",Tab_Transport[[#This Row],[Category]],0)</f>
        <v>?</v>
      </c>
      <c r="W112" s="208">
        <f>IF(Tab_Transport[[#This Row],[Energy demand focus]]="Y",Tab_Transport[[#This Row],[Investment]],0)</f>
        <v>0</v>
      </c>
      <c r="X112" s="209">
        <f>IF(U112=1,Tab_Transport[[#This Row],[Investment]],0)</f>
        <v>0</v>
      </c>
    </row>
    <row r="113" spans="1:24" ht="30" x14ac:dyDescent="0.25">
      <c r="A113" s="66">
        <v>134</v>
      </c>
      <c r="B113" s="66"/>
      <c r="C113" s="68" t="s">
        <v>687</v>
      </c>
      <c r="D113" s="67" t="s">
        <v>610</v>
      </c>
      <c r="E113" s="67" t="s">
        <v>93</v>
      </c>
      <c r="F113" s="67" t="s">
        <v>785</v>
      </c>
      <c r="G113" s="67" t="s">
        <v>613</v>
      </c>
      <c r="H113" s="67"/>
      <c r="I113" s="66" t="s">
        <v>597</v>
      </c>
      <c r="J113" s="66" t="s">
        <v>759</v>
      </c>
      <c r="K113" s="66" t="s">
        <v>712</v>
      </c>
      <c r="L113" s="66" t="s">
        <v>820</v>
      </c>
      <c r="M113" s="66"/>
      <c r="N113" s="68"/>
      <c r="O113" s="134">
        <v>1</v>
      </c>
      <c r="P113" s="134">
        <f>COUNTA(Tab_Transport[[#This Row],[Investment]])</f>
        <v>0</v>
      </c>
      <c r="Q113" s="134">
        <f>COUNTA(Tab_Transport[[#This Row],[Lead department]])</f>
        <v>1</v>
      </c>
      <c r="R113" s="133">
        <f>COUNTA(Tab_Transport[[#This Row],[Spec target / outcomes]])</f>
        <v>1</v>
      </c>
      <c r="S113" s="133">
        <f>COUNTA(Tab_Transport[[#This Row],[Obligations]])</f>
        <v>1</v>
      </c>
      <c r="T113" s="134">
        <f t="shared" si="4"/>
        <v>0</v>
      </c>
      <c r="U113" s="133">
        <f t="shared" si="5"/>
        <v>1</v>
      </c>
      <c r="V113" s="208">
        <f>IF(Tab_Transport[[#This Row],[Energy demand focus]]="Y",Tab_Transport[[#This Row],[Category]],0)</f>
        <v>0</v>
      </c>
      <c r="W113" s="208">
        <f>IF(Tab_Transport[[#This Row],[Energy demand focus]]="Y",Tab_Transport[[#This Row],[Investment]],0)</f>
        <v>0</v>
      </c>
      <c r="X113" s="209">
        <f>IF(U113=1,Tab_Transport[[#This Row],[Investment]],0)</f>
        <v>0</v>
      </c>
    </row>
    <row r="114" spans="1:24" ht="30" x14ac:dyDescent="0.25">
      <c r="A114" s="66">
        <v>135</v>
      </c>
      <c r="B114" s="66" t="s">
        <v>630</v>
      </c>
      <c r="C114" s="68" t="s">
        <v>687</v>
      </c>
      <c r="D114" s="67" t="s">
        <v>627</v>
      </c>
      <c r="E114" s="67" t="s">
        <v>103</v>
      </c>
      <c r="F114" s="67" t="s">
        <v>785</v>
      </c>
      <c r="G114" s="67" t="s">
        <v>625</v>
      </c>
      <c r="H114" s="67"/>
      <c r="I114" s="66" t="s">
        <v>597</v>
      </c>
      <c r="J114" s="66"/>
      <c r="K114" s="66" t="s">
        <v>720</v>
      </c>
      <c r="L114" s="66" t="s">
        <v>820</v>
      </c>
      <c r="M114" s="66" t="s">
        <v>628</v>
      </c>
      <c r="N114" s="68"/>
      <c r="O114" s="134">
        <v>1</v>
      </c>
      <c r="P114" s="134">
        <f>COUNTA(Tab_Transport[[#This Row],[Investment]])</f>
        <v>0</v>
      </c>
      <c r="Q114" s="134">
        <f>COUNTA(Tab_Transport[[#This Row],[Lead department]])</f>
        <v>1</v>
      </c>
      <c r="R114" s="133">
        <f>COUNTA(Tab_Transport[[#This Row],[Spec target / outcomes]])</f>
        <v>0</v>
      </c>
      <c r="S114" s="133">
        <f>COUNTA(Tab_Transport[[#This Row],[Obligations]])</f>
        <v>1</v>
      </c>
      <c r="T114" s="134">
        <f t="shared" si="4"/>
        <v>0</v>
      </c>
      <c r="U114" s="133">
        <f t="shared" si="5"/>
        <v>1</v>
      </c>
      <c r="V114" s="208">
        <f>IF(Tab_Transport[[#This Row],[Energy demand focus]]="Y",Tab_Transport[[#This Row],[Category]],0)</f>
        <v>0</v>
      </c>
      <c r="W114" s="208">
        <f>IF(Tab_Transport[[#This Row],[Energy demand focus]]="Y",Tab_Transport[[#This Row],[Investment]],0)</f>
        <v>0</v>
      </c>
      <c r="X114" s="209">
        <f>IF(U114=1,Tab_Transport[[#This Row],[Investment]],0)</f>
        <v>0</v>
      </c>
    </row>
    <row r="115" spans="1:24" ht="30" x14ac:dyDescent="0.25">
      <c r="A115" s="66">
        <v>90</v>
      </c>
      <c r="B115" s="66">
        <v>15</v>
      </c>
      <c r="C115" s="68" t="s">
        <v>703</v>
      </c>
      <c r="D115" s="67" t="s">
        <v>253</v>
      </c>
      <c r="E115" s="67" t="s">
        <v>122</v>
      </c>
      <c r="F115" s="67" t="s">
        <v>1</v>
      </c>
      <c r="G115" s="67" t="s">
        <v>619</v>
      </c>
      <c r="H115" s="67"/>
      <c r="I115" s="66"/>
      <c r="J115" s="66" t="s">
        <v>757</v>
      </c>
      <c r="K115" s="66"/>
      <c r="L115" s="66" t="s">
        <v>84</v>
      </c>
      <c r="M115" s="66"/>
      <c r="N115" s="68"/>
      <c r="O115" s="134">
        <v>1</v>
      </c>
      <c r="P115" s="134">
        <f>COUNTA(Tab_Transport[[#This Row],[Investment]])</f>
        <v>0</v>
      </c>
      <c r="Q115" s="134">
        <f>COUNTA(Tab_Transport[[#This Row],[Lead department]])</f>
        <v>0</v>
      </c>
      <c r="R115" s="133">
        <f>COUNTA(Tab_Transport[[#This Row],[Spec target / outcomes]])</f>
        <v>1</v>
      </c>
      <c r="S115" s="133">
        <f>COUNTA(Tab_Transport[[#This Row],[Obligations]])</f>
        <v>0</v>
      </c>
      <c r="T115" s="134">
        <f t="shared" si="4"/>
        <v>1</v>
      </c>
      <c r="U115" s="133">
        <f t="shared" si="5"/>
        <v>0</v>
      </c>
      <c r="V115" s="208" t="str">
        <f>IF(Tab_Transport[[#This Row],[Energy demand focus]]="Y",Tab_Transport[[#This Row],[Category]],0)</f>
        <v>Investment</v>
      </c>
      <c r="W115" s="208">
        <f>IF(Tab_Transport[[#This Row],[Energy demand focus]]="Y",Tab_Transport[[#This Row],[Investment]],0)</f>
        <v>0</v>
      </c>
      <c r="X115" s="209">
        <f>IF(U115=1,Tab_Transport[[#This Row],[Investment]],0)</f>
        <v>0</v>
      </c>
    </row>
    <row r="116" spans="1:24" ht="45" x14ac:dyDescent="0.25">
      <c r="A116" s="66">
        <v>90</v>
      </c>
      <c r="B116" s="66">
        <v>16</v>
      </c>
      <c r="C116" s="68" t="s">
        <v>703</v>
      </c>
      <c r="D116" s="67" t="s">
        <v>480</v>
      </c>
      <c r="E116" s="67" t="s">
        <v>122</v>
      </c>
      <c r="F116" s="67" t="s">
        <v>1</v>
      </c>
      <c r="G116" s="67" t="s">
        <v>620</v>
      </c>
      <c r="H116" s="67" t="s">
        <v>254</v>
      </c>
      <c r="I116" s="66"/>
      <c r="J116" s="66"/>
      <c r="K116" s="66"/>
      <c r="L116" s="66" t="s">
        <v>84</v>
      </c>
      <c r="M116" s="66"/>
      <c r="N116" s="68"/>
      <c r="O116" s="134">
        <v>1</v>
      </c>
      <c r="P116" s="134">
        <f>COUNTA(Tab_Transport[[#This Row],[Investment]])</f>
        <v>1</v>
      </c>
      <c r="Q116" s="134">
        <f>COUNTA(Tab_Transport[[#This Row],[Lead department]])</f>
        <v>0</v>
      </c>
      <c r="R116" s="133">
        <f>COUNTA(Tab_Transport[[#This Row],[Spec target / outcomes]])</f>
        <v>0</v>
      </c>
      <c r="S116" s="133">
        <f>COUNTA(Tab_Transport[[#This Row],[Obligations]])</f>
        <v>0</v>
      </c>
      <c r="T116" s="134">
        <f t="shared" si="4"/>
        <v>1</v>
      </c>
      <c r="U116" s="133">
        <f t="shared" si="5"/>
        <v>0</v>
      </c>
      <c r="V116" s="208" t="str">
        <f>IF(Tab_Transport[[#This Row],[Energy demand focus]]="Y",Tab_Transport[[#This Row],[Category]],0)</f>
        <v>Investment</v>
      </c>
      <c r="W116" s="208" t="str">
        <f>IF(Tab_Transport[[#This Row],[Energy demand focus]]="Y",Tab_Transport[[#This Row],[Investment]],0)</f>
        <v>£1.2 billion</v>
      </c>
      <c r="X116" s="209">
        <f>IF(U116=1,Tab_Transport[[#This Row],[Investment]],0)</f>
        <v>0</v>
      </c>
    </row>
    <row r="117" spans="1:24" ht="30" x14ac:dyDescent="0.25">
      <c r="A117" s="66">
        <v>135</v>
      </c>
      <c r="B117" s="66"/>
      <c r="C117" s="68" t="s">
        <v>703</v>
      </c>
      <c r="D117" s="67" t="s">
        <v>621</v>
      </c>
      <c r="E117" s="67" t="s">
        <v>622</v>
      </c>
      <c r="F117" s="67" t="s">
        <v>1</v>
      </c>
      <c r="G117" s="67">
        <v>2020</v>
      </c>
      <c r="H117" s="67"/>
      <c r="I117" s="66" t="s">
        <v>582</v>
      </c>
      <c r="J117" s="66"/>
      <c r="K117" s="66"/>
      <c r="L117" s="66" t="s">
        <v>84</v>
      </c>
      <c r="M117" s="66"/>
      <c r="N117" s="68" t="s">
        <v>623</v>
      </c>
      <c r="O117" s="134">
        <v>1</v>
      </c>
      <c r="P117" s="134">
        <f>COUNTA(Tab_Transport[[#This Row],[Investment]])</f>
        <v>0</v>
      </c>
      <c r="Q117" s="134">
        <f>COUNTA(Tab_Transport[[#This Row],[Lead department]])</f>
        <v>1</v>
      </c>
      <c r="R117" s="133">
        <f>COUNTA(Tab_Transport[[#This Row],[Spec target / outcomes]])</f>
        <v>0</v>
      </c>
      <c r="S117" s="133">
        <f>COUNTA(Tab_Transport[[#This Row],[Obligations]])</f>
        <v>0</v>
      </c>
      <c r="T117" s="134">
        <f t="shared" si="4"/>
        <v>1</v>
      </c>
      <c r="U117" s="133">
        <f t="shared" si="5"/>
        <v>0</v>
      </c>
      <c r="V117" s="208" t="str">
        <f>IF(Tab_Transport[[#This Row],[Energy demand focus]]="Y",Tab_Transport[[#This Row],[Category]],0)</f>
        <v>Investment</v>
      </c>
      <c r="W117" s="208">
        <f>IF(Tab_Transport[[#This Row],[Energy demand focus]]="Y",Tab_Transport[[#This Row],[Investment]],0)</f>
        <v>0</v>
      </c>
      <c r="X117" s="209">
        <f>IF(U117=1,Tab_Transport[[#This Row],[Investment]],0)</f>
        <v>0</v>
      </c>
    </row>
    <row r="118" spans="1:24" ht="30" x14ac:dyDescent="0.25">
      <c r="A118" s="66">
        <v>90</v>
      </c>
      <c r="B118" s="66">
        <v>17</v>
      </c>
      <c r="C118" s="68" t="s">
        <v>703</v>
      </c>
      <c r="D118" s="67" t="s">
        <v>762</v>
      </c>
      <c r="E118" s="67" t="s">
        <v>122</v>
      </c>
      <c r="F118" s="67" t="s">
        <v>1</v>
      </c>
      <c r="G118" s="67" t="s">
        <v>479</v>
      </c>
      <c r="H118" s="67" t="s">
        <v>131</v>
      </c>
      <c r="I118" s="66"/>
      <c r="J118" s="66" t="s">
        <v>84</v>
      </c>
      <c r="K118" s="66"/>
      <c r="L118" s="66" t="s">
        <v>820</v>
      </c>
      <c r="M118" s="66"/>
      <c r="N118" s="68"/>
      <c r="O118" s="134">
        <v>1</v>
      </c>
      <c r="P118" s="134">
        <f>COUNTA(Tab_Transport[[#This Row],[Investment]])</f>
        <v>1</v>
      </c>
      <c r="Q118" s="134">
        <f>COUNTA(Tab_Transport[[#This Row],[Lead department]])</f>
        <v>0</v>
      </c>
      <c r="R118" s="133">
        <f>COUNTA(Tab_Transport[[#This Row],[Spec target / outcomes]])</f>
        <v>1</v>
      </c>
      <c r="S118" s="133">
        <f>COUNTA(Tab_Transport[[#This Row],[Obligations]])</f>
        <v>0</v>
      </c>
      <c r="T118" s="134">
        <f t="shared" si="4"/>
        <v>0</v>
      </c>
      <c r="U118" s="133">
        <f t="shared" si="5"/>
        <v>1</v>
      </c>
      <c r="V118" s="208">
        <f>IF(Tab_Transport[[#This Row],[Energy demand focus]]="Y",Tab_Transport[[#This Row],[Category]],0)</f>
        <v>0</v>
      </c>
      <c r="W118" s="208">
        <f>IF(Tab_Transport[[#This Row],[Energy demand focus]]="Y",Tab_Transport[[#This Row],[Investment]],0)</f>
        <v>0</v>
      </c>
      <c r="X118" s="209" t="str">
        <f>IF(U118=1,Tab_Transport[[#This Row],[Investment]],0)</f>
        <v>£100 million</v>
      </c>
    </row>
    <row r="119" spans="1:24" ht="30" x14ac:dyDescent="0.25">
      <c r="A119" s="66">
        <v>90</v>
      </c>
      <c r="B119" s="66" t="s">
        <v>256</v>
      </c>
      <c r="C119" s="68" t="s">
        <v>703</v>
      </c>
      <c r="D119" s="67" t="s">
        <v>257</v>
      </c>
      <c r="E119" s="67" t="s">
        <v>14</v>
      </c>
      <c r="F119" s="67" t="s">
        <v>14</v>
      </c>
      <c r="G119" s="67" t="s">
        <v>520</v>
      </c>
      <c r="H119" s="67"/>
      <c r="I119" s="66"/>
      <c r="J119" s="66"/>
      <c r="K119" s="66"/>
      <c r="L119" s="66" t="s">
        <v>820</v>
      </c>
      <c r="M119" s="66"/>
      <c r="N119" s="68"/>
      <c r="O119" s="134">
        <v>1</v>
      </c>
      <c r="P119" s="134">
        <f>COUNTA(Tab_Transport[[#This Row],[Investment]])</f>
        <v>0</v>
      </c>
      <c r="Q119" s="134">
        <f>COUNTA(Tab_Transport[[#This Row],[Lead department]])</f>
        <v>0</v>
      </c>
      <c r="R119" s="133">
        <f>COUNTA(Tab_Transport[[#This Row],[Spec target / outcomes]])</f>
        <v>0</v>
      </c>
      <c r="S119" s="133">
        <f>COUNTA(Tab_Transport[[#This Row],[Obligations]])</f>
        <v>0</v>
      </c>
      <c r="T119" s="134">
        <f t="shared" si="4"/>
        <v>0</v>
      </c>
      <c r="U119" s="133">
        <f t="shared" si="5"/>
        <v>1</v>
      </c>
      <c r="V119" s="208">
        <f>IF(Tab_Transport[[#This Row],[Energy demand focus]]="Y",Tab_Transport[[#This Row],[Category]],0)</f>
        <v>0</v>
      </c>
      <c r="W119" s="208">
        <f>IF(Tab_Transport[[#This Row],[Energy demand focus]]="Y",Tab_Transport[[#This Row],[Investment]],0)</f>
        <v>0</v>
      </c>
      <c r="X119" s="209">
        <f>IF(U119=1,Tab_Transport[[#This Row],[Investment]],0)</f>
        <v>0</v>
      </c>
    </row>
    <row r="120" spans="1:24" ht="30" x14ac:dyDescent="0.25">
      <c r="A120" s="66">
        <v>90</v>
      </c>
      <c r="B120" s="66" t="s">
        <v>258</v>
      </c>
      <c r="C120" s="68" t="s">
        <v>703</v>
      </c>
      <c r="D120" s="67" t="s">
        <v>259</v>
      </c>
      <c r="E120" s="67" t="s">
        <v>122</v>
      </c>
      <c r="F120" s="67" t="s">
        <v>1</v>
      </c>
      <c r="G120" s="67" t="s">
        <v>478</v>
      </c>
      <c r="H120" s="67"/>
      <c r="I120" s="66"/>
      <c r="J120" s="66" t="s">
        <v>718</v>
      </c>
      <c r="K120" s="66"/>
      <c r="L120" s="66" t="s">
        <v>819</v>
      </c>
      <c r="M120" s="66"/>
      <c r="N120" s="68"/>
      <c r="O120" s="134">
        <v>1</v>
      </c>
      <c r="P120" s="134">
        <f>COUNTA(Tab_Transport[[#This Row],[Investment]])</f>
        <v>0</v>
      </c>
      <c r="Q120" s="134">
        <f>COUNTA(Tab_Transport[[#This Row],[Lead department]])</f>
        <v>0</v>
      </c>
      <c r="R120" s="133">
        <f>COUNTA(Tab_Transport[[#This Row],[Spec target / outcomes]])</f>
        <v>1</v>
      </c>
      <c r="S120" s="133">
        <f>COUNTA(Tab_Transport[[#This Row],[Obligations]])</f>
        <v>0</v>
      </c>
      <c r="T120" s="134">
        <f t="shared" si="4"/>
        <v>0</v>
      </c>
      <c r="U120" s="133">
        <f t="shared" si="5"/>
        <v>1</v>
      </c>
      <c r="V120" s="208">
        <f>IF(Tab_Transport[[#This Row],[Energy demand focus]]="Y",Tab_Transport[[#This Row],[Category]],0)</f>
        <v>0</v>
      </c>
      <c r="W120" s="208">
        <f>IF(Tab_Transport[[#This Row],[Energy demand focus]]="Y",Tab_Transport[[#This Row],[Investment]],0)</f>
        <v>0</v>
      </c>
      <c r="X120" s="209">
        <f>IF(U120=1,Tab_Transport[[#This Row],[Investment]],0)</f>
        <v>0</v>
      </c>
    </row>
    <row r="121" spans="1:24" ht="30" x14ac:dyDescent="0.25">
      <c r="A121" s="66">
        <v>90</v>
      </c>
      <c r="B121" s="66" t="s">
        <v>260</v>
      </c>
      <c r="C121" s="68" t="s">
        <v>703</v>
      </c>
      <c r="D121" s="67" t="s">
        <v>295</v>
      </c>
      <c r="E121" s="67" t="s">
        <v>11</v>
      </c>
      <c r="F121" s="67" t="s">
        <v>11</v>
      </c>
      <c r="G121" s="67" t="s">
        <v>261</v>
      </c>
      <c r="H121" s="67"/>
      <c r="I121" s="66"/>
      <c r="J121" s="66"/>
      <c r="K121" s="66"/>
      <c r="L121" s="66" t="s">
        <v>820</v>
      </c>
      <c r="M121" s="66"/>
      <c r="N121" s="68"/>
      <c r="O121" s="134">
        <v>1</v>
      </c>
      <c r="P121" s="134">
        <f>COUNTA(Tab_Transport[[#This Row],[Investment]])</f>
        <v>0</v>
      </c>
      <c r="Q121" s="134">
        <f>COUNTA(Tab_Transport[[#This Row],[Lead department]])</f>
        <v>0</v>
      </c>
      <c r="R121" s="133">
        <f>COUNTA(Tab_Transport[[#This Row],[Spec target / outcomes]])</f>
        <v>0</v>
      </c>
      <c r="S121" s="133">
        <f>COUNTA(Tab_Transport[[#This Row],[Obligations]])</f>
        <v>0</v>
      </c>
      <c r="T121" s="134">
        <f t="shared" si="4"/>
        <v>0</v>
      </c>
      <c r="U121" s="133">
        <f t="shared" si="5"/>
        <v>1</v>
      </c>
      <c r="V121" s="208">
        <f>IF(Tab_Transport[[#This Row],[Energy demand focus]]="Y",Tab_Transport[[#This Row],[Category]],0)</f>
        <v>0</v>
      </c>
      <c r="W121" s="208">
        <f>IF(Tab_Transport[[#This Row],[Energy demand focus]]="Y",Tab_Transport[[#This Row],[Investment]],0)</f>
        <v>0</v>
      </c>
      <c r="X121" s="209">
        <f>IF(U121=1,Tab_Transport[[#This Row],[Investment]],0)</f>
        <v>0</v>
      </c>
    </row>
    <row r="122" spans="1:24" ht="60" x14ac:dyDescent="0.25">
      <c r="A122" s="66">
        <v>90</v>
      </c>
      <c r="B122" s="66">
        <v>19</v>
      </c>
      <c r="C122" s="68" t="s">
        <v>688</v>
      </c>
      <c r="D122" s="67" t="s">
        <v>617</v>
      </c>
      <c r="E122" s="67" t="s">
        <v>103</v>
      </c>
      <c r="F122" s="67" t="s">
        <v>785</v>
      </c>
      <c r="G122" s="67" t="s">
        <v>618</v>
      </c>
      <c r="H122" s="67"/>
      <c r="I122" s="66" t="s">
        <v>597</v>
      </c>
      <c r="J122" s="66" t="s">
        <v>84</v>
      </c>
      <c r="K122" s="66" t="s">
        <v>720</v>
      </c>
      <c r="L122" s="66" t="s">
        <v>820</v>
      </c>
      <c r="M122" s="66" t="s">
        <v>629</v>
      </c>
      <c r="N122" s="36" t="s">
        <v>847</v>
      </c>
      <c r="O122" s="134">
        <v>1</v>
      </c>
      <c r="P122" s="134">
        <f>COUNTA(Tab_Transport[[#This Row],[Investment]])</f>
        <v>0</v>
      </c>
      <c r="Q122" s="134">
        <f>COUNTA(Tab_Transport[[#This Row],[Lead department]])</f>
        <v>1</v>
      </c>
      <c r="R122" s="133">
        <f>COUNTA(Tab_Transport[[#This Row],[Spec target / outcomes]])</f>
        <v>1</v>
      </c>
      <c r="S122" s="133">
        <f>COUNTA(Tab_Transport[[#This Row],[Obligations]])</f>
        <v>1</v>
      </c>
      <c r="T122" s="134">
        <f t="shared" si="4"/>
        <v>0</v>
      </c>
      <c r="U122" s="133">
        <f t="shared" si="5"/>
        <v>1</v>
      </c>
      <c r="V122" s="208">
        <f>IF(Tab_Transport[[#This Row],[Energy demand focus]]="Y",Tab_Transport[[#This Row],[Category]],0)</f>
        <v>0</v>
      </c>
      <c r="W122" s="208">
        <f>IF(Tab_Transport[[#This Row],[Energy demand focus]]="Y",Tab_Transport[[#This Row],[Investment]],0)</f>
        <v>0</v>
      </c>
      <c r="X122" s="209">
        <f>IF(U122=1,Tab_Transport[[#This Row],[Investment]],0)</f>
        <v>0</v>
      </c>
    </row>
    <row r="123" spans="1:24" ht="45" x14ac:dyDescent="0.25">
      <c r="A123" s="66">
        <v>91</v>
      </c>
      <c r="B123" s="66">
        <v>20</v>
      </c>
      <c r="C123" s="68" t="s">
        <v>688</v>
      </c>
      <c r="D123" s="67" t="s">
        <v>263</v>
      </c>
      <c r="E123" s="67" t="s">
        <v>251</v>
      </c>
      <c r="F123" s="67" t="s">
        <v>19</v>
      </c>
      <c r="G123" s="67" t="s">
        <v>262</v>
      </c>
      <c r="H123" s="67"/>
      <c r="I123" s="66"/>
      <c r="J123" s="66"/>
      <c r="K123" s="66"/>
      <c r="L123" s="66" t="s">
        <v>84</v>
      </c>
      <c r="M123" s="66"/>
      <c r="N123" s="68"/>
      <c r="O123" s="134">
        <v>1</v>
      </c>
      <c r="P123" s="134">
        <f>COUNTA(Tab_Transport[[#This Row],[Investment]])</f>
        <v>0</v>
      </c>
      <c r="Q123" s="134">
        <f>COUNTA(Tab_Transport[[#This Row],[Lead department]])</f>
        <v>0</v>
      </c>
      <c r="R123" s="133">
        <f>COUNTA(Tab_Transport[[#This Row],[Spec target / outcomes]])</f>
        <v>0</v>
      </c>
      <c r="S123" s="133">
        <f>COUNTA(Tab_Transport[[#This Row],[Obligations]])</f>
        <v>0</v>
      </c>
      <c r="T123" s="134">
        <f t="shared" si="4"/>
        <v>1</v>
      </c>
      <c r="U123" s="133">
        <f t="shared" si="5"/>
        <v>0</v>
      </c>
      <c r="V123" s="208" t="str">
        <f>IF(Tab_Transport[[#This Row],[Energy demand focus]]="Y",Tab_Transport[[#This Row],[Category]],0)</f>
        <v>Information</v>
      </c>
      <c r="W123" s="208">
        <f>IF(Tab_Transport[[#This Row],[Energy demand focus]]="Y",Tab_Transport[[#This Row],[Investment]],0)</f>
        <v>0</v>
      </c>
      <c r="X123" s="209">
        <f>IF(U123=1,Tab_Transport[[#This Row],[Investment]],0)</f>
        <v>0</v>
      </c>
    </row>
    <row r="124" spans="1:24" ht="45" x14ac:dyDescent="0.25">
      <c r="A124" s="66">
        <v>91</v>
      </c>
      <c r="B124" s="66">
        <v>21</v>
      </c>
      <c r="C124" s="68" t="s">
        <v>689</v>
      </c>
      <c r="D124" s="67" t="s">
        <v>264</v>
      </c>
      <c r="E124" s="67" t="s">
        <v>265</v>
      </c>
      <c r="F124" s="67" t="s">
        <v>786</v>
      </c>
      <c r="G124" s="67"/>
      <c r="H124" s="67"/>
      <c r="I124" s="66"/>
      <c r="J124" s="66" t="s">
        <v>760</v>
      </c>
      <c r="K124" s="66" t="s">
        <v>720</v>
      </c>
      <c r="L124" s="66" t="s">
        <v>820</v>
      </c>
      <c r="M124" s="66"/>
      <c r="N124" s="68"/>
      <c r="O124" s="134">
        <v>0</v>
      </c>
      <c r="P124" s="134">
        <f>COUNTA(Tab_Transport[[#This Row],[Investment]])</f>
        <v>0</v>
      </c>
      <c r="Q124" s="134">
        <f>COUNTA(Tab_Transport[[#This Row],[Lead department]])</f>
        <v>0</v>
      </c>
      <c r="R124" s="133">
        <f>COUNTA(Tab_Transport[[#This Row],[Spec target / outcomes]])</f>
        <v>1</v>
      </c>
      <c r="S124" s="133">
        <f>COUNTA(Tab_Transport[[#This Row],[Obligations]])</f>
        <v>1</v>
      </c>
      <c r="T124" s="134">
        <f t="shared" ref="T124:T141" si="6">COUNTIF(L124,"=Y")</f>
        <v>0</v>
      </c>
      <c r="U124" s="133">
        <f t="shared" si="5"/>
        <v>1</v>
      </c>
      <c r="V124" s="208">
        <f>IF(Tab_Transport[[#This Row],[Energy demand focus]]="Y",Tab_Transport[[#This Row],[Category]],0)</f>
        <v>0</v>
      </c>
      <c r="W124" s="208">
        <f>IF(Tab_Transport[[#This Row],[Energy demand focus]]="Y",Tab_Transport[[#This Row],[Investment]],0)</f>
        <v>0</v>
      </c>
      <c r="X124" s="209">
        <f>IF(U124=1,Tab_Transport[[#This Row],[Investment]],0)</f>
        <v>0</v>
      </c>
    </row>
    <row r="125" spans="1:24" ht="45" x14ac:dyDescent="0.25">
      <c r="A125" s="66">
        <v>91</v>
      </c>
      <c r="B125" s="66">
        <v>22</v>
      </c>
      <c r="C125" s="68" t="s">
        <v>689</v>
      </c>
      <c r="D125" s="67" t="s">
        <v>471</v>
      </c>
      <c r="E125" s="67" t="s">
        <v>122</v>
      </c>
      <c r="F125" s="67" t="s">
        <v>1</v>
      </c>
      <c r="G125" s="67" t="s">
        <v>266</v>
      </c>
      <c r="H125" s="67" t="s">
        <v>267</v>
      </c>
      <c r="I125" s="66"/>
      <c r="J125" s="126"/>
      <c r="K125" s="66"/>
      <c r="L125" s="66" t="s">
        <v>820</v>
      </c>
      <c r="M125" s="66"/>
      <c r="N125" s="68"/>
      <c r="O125" s="134">
        <v>1</v>
      </c>
      <c r="P125" s="134">
        <f>COUNTA(Tab_Transport[[#This Row],[Investment]])</f>
        <v>1</v>
      </c>
      <c r="Q125" s="134">
        <f>COUNTA(Tab_Transport[[#This Row],[Lead department]])</f>
        <v>0</v>
      </c>
      <c r="R125" s="133">
        <f>COUNTA(Tab_Transport[[#This Row],[Spec target / outcomes]])</f>
        <v>0</v>
      </c>
      <c r="S125" s="133">
        <f>COUNTA(Tab_Transport[[#This Row],[Obligations]])</f>
        <v>0</v>
      </c>
      <c r="T125" s="134">
        <f t="shared" si="6"/>
        <v>0</v>
      </c>
      <c r="U125" s="133">
        <f t="shared" si="5"/>
        <v>1</v>
      </c>
      <c r="V125" s="208">
        <f>IF(Tab_Transport[[#This Row],[Energy demand focus]]="Y",Tab_Transport[[#This Row],[Category]],0)</f>
        <v>0</v>
      </c>
      <c r="W125" s="208">
        <f>IF(Tab_Transport[[#This Row],[Energy demand focus]]="Y",Tab_Transport[[#This Row],[Investment]],0)</f>
        <v>0</v>
      </c>
      <c r="X125" s="209" t="str">
        <f>IF(U125=1,Tab_Transport[[#This Row],[Investment]],0)</f>
        <v>£22 million</v>
      </c>
    </row>
    <row r="126" spans="1:24" ht="45" x14ac:dyDescent="0.25">
      <c r="A126" s="66">
        <v>91</v>
      </c>
      <c r="B126" s="66">
        <v>23</v>
      </c>
      <c r="C126" s="68" t="s">
        <v>690</v>
      </c>
      <c r="D126" s="67" t="s">
        <v>601</v>
      </c>
      <c r="E126" s="67" t="s">
        <v>268</v>
      </c>
      <c r="F126" s="67" t="s">
        <v>130</v>
      </c>
      <c r="G126" s="67" t="s">
        <v>481</v>
      </c>
      <c r="H126" s="67"/>
      <c r="I126" s="66" t="s">
        <v>597</v>
      </c>
      <c r="J126" s="66"/>
      <c r="K126" s="66"/>
      <c r="L126" s="66" t="s">
        <v>192</v>
      </c>
      <c r="M126" s="66"/>
      <c r="N126" s="68"/>
      <c r="O126" s="134">
        <v>1</v>
      </c>
      <c r="P126" s="134">
        <f>COUNTA(Tab_Transport[[#This Row],[Investment]])</f>
        <v>0</v>
      </c>
      <c r="Q126" s="134">
        <f>COUNTA(Tab_Transport[[#This Row],[Lead department]])</f>
        <v>1</v>
      </c>
      <c r="R126" s="133">
        <f>COUNTA(Tab_Transport[[#This Row],[Spec target / outcomes]])</f>
        <v>0</v>
      </c>
      <c r="S126" s="133">
        <f>COUNTA(Tab_Transport[[#This Row],[Obligations]])</f>
        <v>0</v>
      </c>
      <c r="T126" s="134">
        <f t="shared" si="6"/>
        <v>0</v>
      </c>
      <c r="U126" s="133">
        <f t="shared" si="5"/>
        <v>0</v>
      </c>
      <c r="V126" s="208">
        <f>IF(Tab_Transport[[#This Row],[Energy demand focus]]="Y",Tab_Transport[[#This Row],[Category]],0)</f>
        <v>0</v>
      </c>
      <c r="W126" s="208">
        <f>IF(Tab_Transport[[#This Row],[Energy demand focus]]="Y",Tab_Transport[[#This Row],[Investment]],0)</f>
        <v>0</v>
      </c>
      <c r="X126" s="209">
        <f>IF(U126=1,Tab_Transport[[#This Row],[Investment]],0)</f>
        <v>0</v>
      </c>
    </row>
    <row r="127" spans="1:24" ht="45" x14ac:dyDescent="0.25">
      <c r="A127" s="66">
        <v>91</v>
      </c>
      <c r="B127" s="66" t="s">
        <v>269</v>
      </c>
      <c r="C127" s="68" t="s">
        <v>690</v>
      </c>
      <c r="D127" s="67" t="s">
        <v>482</v>
      </c>
      <c r="E127" s="67" t="s">
        <v>122</v>
      </c>
      <c r="F127" s="67" t="s">
        <v>1</v>
      </c>
      <c r="G127" s="67" t="s">
        <v>518</v>
      </c>
      <c r="H127" s="67" t="s">
        <v>271</v>
      </c>
      <c r="I127" s="66"/>
      <c r="J127" s="66"/>
      <c r="K127" s="66"/>
      <c r="L127" s="66" t="s">
        <v>820</v>
      </c>
      <c r="M127" s="66"/>
      <c r="N127" s="68"/>
      <c r="O127" s="134">
        <v>1</v>
      </c>
      <c r="P127" s="134">
        <f>COUNTA(Tab_Transport[[#This Row],[Investment]])</f>
        <v>1</v>
      </c>
      <c r="Q127" s="134">
        <f>COUNTA(Tab_Transport[[#This Row],[Lead department]])</f>
        <v>0</v>
      </c>
      <c r="R127" s="133">
        <f>COUNTA(Tab_Transport[[#This Row],[Spec target / outcomes]])</f>
        <v>0</v>
      </c>
      <c r="S127" s="133">
        <f>COUNTA(Tab_Transport[[#This Row],[Obligations]])</f>
        <v>0</v>
      </c>
      <c r="T127" s="134">
        <f t="shared" si="6"/>
        <v>0</v>
      </c>
      <c r="U127" s="133">
        <f t="shared" si="5"/>
        <v>1</v>
      </c>
      <c r="V127" s="208">
        <f>IF(Tab_Transport[[#This Row],[Energy demand focus]]="Y",Tab_Transport[[#This Row],[Category]],0)</f>
        <v>0</v>
      </c>
      <c r="W127" s="208">
        <f>IF(Tab_Transport[[#This Row],[Energy demand focus]]="Y",Tab_Transport[[#This Row],[Investment]],0)</f>
        <v>0</v>
      </c>
      <c r="X127" s="209" t="str">
        <f>IF(U127=1,Tab_Transport[[#This Row],[Investment]],0)</f>
        <v>£3.9 billion</v>
      </c>
    </row>
    <row r="128" spans="1:24" ht="30" x14ac:dyDescent="0.25">
      <c r="A128" s="66">
        <v>91</v>
      </c>
      <c r="B128" s="66" t="s">
        <v>270</v>
      </c>
      <c r="C128" s="68" t="s">
        <v>690</v>
      </c>
      <c r="D128" s="67" t="s">
        <v>469</v>
      </c>
      <c r="E128" s="67" t="s">
        <v>103</v>
      </c>
      <c r="F128" s="67" t="s">
        <v>785</v>
      </c>
      <c r="G128" s="67" t="s">
        <v>272</v>
      </c>
      <c r="H128" s="67"/>
      <c r="I128" s="66"/>
      <c r="J128" s="66" t="s">
        <v>84</v>
      </c>
      <c r="K128" s="66" t="s">
        <v>748</v>
      </c>
      <c r="L128" s="66" t="s">
        <v>820</v>
      </c>
      <c r="M128" s="66"/>
      <c r="N128" s="68"/>
      <c r="O128" s="134">
        <v>1</v>
      </c>
      <c r="P128" s="134">
        <f>COUNTA(Tab_Transport[[#This Row],[Investment]])</f>
        <v>0</v>
      </c>
      <c r="Q128" s="134">
        <f>COUNTA(Tab_Transport[[#This Row],[Lead department]])</f>
        <v>0</v>
      </c>
      <c r="R128" s="133">
        <f>COUNTA(Tab_Transport[[#This Row],[Spec target / outcomes]])</f>
        <v>1</v>
      </c>
      <c r="S128" s="133">
        <f>COUNTA(Tab_Transport[[#This Row],[Obligations]])</f>
        <v>1</v>
      </c>
      <c r="T128" s="134">
        <f t="shared" si="6"/>
        <v>0</v>
      </c>
      <c r="U128" s="133">
        <f t="shared" si="5"/>
        <v>1</v>
      </c>
      <c r="V128" s="208">
        <f>IF(Tab_Transport[[#This Row],[Energy demand focus]]="Y",Tab_Transport[[#This Row],[Category]],0)</f>
        <v>0</v>
      </c>
      <c r="W128" s="208">
        <f>IF(Tab_Transport[[#This Row],[Energy demand focus]]="Y",Tab_Transport[[#This Row],[Investment]],0)</f>
        <v>0</v>
      </c>
      <c r="X128" s="209">
        <f>IF(U128=1,Tab_Transport[[#This Row],[Investment]],0)</f>
        <v>0</v>
      </c>
    </row>
    <row r="129" spans="1:27" ht="45" x14ac:dyDescent="0.25">
      <c r="A129" s="66">
        <v>91</v>
      </c>
      <c r="B129" s="66">
        <v>25</v>
      </c>
      <c r="C129" s="68" t="s">
        <v>690</v>
      </c>
      <c r="D129" s="67" t="s">
        <v>273</v>
      </c>
      <c r="E129" s="67" t="s">
        <v>14</v>
      </c>
      <c r="F129" s="67" t="s">
        <v>14</v>
      </c>
      <c r="G129" s="67" t="s">
        <v>632</v>
      </c>
      <c r="H129" s="67"/>
      <c r="I129" s="66"/>
      <c r="J129" s="66"/>
      <c r="K129" s="66"/>
      <c r="L129" s="66" t="s">
        <v>84</v>
      </c>
      <c r="M129" s="66"/>
      <c r="N129" s="68"/>
      <c r="O129" s="134">
        <v>1</v>
      </c>
      <c r="P129" s="134">
        <f>COUNTA(Tab_Transport[[#This Row],[Investment]])</f>
        <v>0</v>
      </c>
      <c r="Q129" s="134">
        <f>COUNTA(Tab_Transport[[#This Row],[Lead department]])</f>
        <v>0</v>
      </c>
      <c r="R129" s="133">
        <f>COUNTA(Tab_Transport[[#This Row],[Spec target / outcomes]])</f>
        <v>0</v>
      </c>
      <c r="S129" s="133">
        <f>COUNTA(Tab_Transport[[#This Row],[Obligations]])</f>
        <v>0</v>
      </c>
      <c r="T129" s="134">
        <f t="shared" si="6"/>
        <v>1</v>
      </c>
      <c r="U129" s="133">
        <f t="shared" si="5"/>
        <v>0</v>
      </c>
      <c r="V129" s="208" t="str">
        <f>IF(Tab_Transport[[#This Row],[Energy demand focus]]="Y",Tab_Transport[[#This Row],[Category]],0)</f>
        <v>?</v>
      </c>
      <c r="W129" s="208">
        <f>IF(Tab_Transport[[#This Row],[Energy demand focus]]="Y",Tab_Transport[[#This Row],[Investment]],0)</f>
        <v>0</v>
      </c>
      <c r="X129" s="209">
        <f>IF(U129=1,Tab_Transport[[#This Row],[Investment]],0)</f>
        <v>0</v>
      </c>
    </row>
    <row r="130" spans="1:27" ht="45" x14ac:dyDescent="0.25">
      <c r="A130" s="66">
        <v>91</v>
      </c>
      <c r="B130" s="66" t="s">
        <v>274</v>
      </c>
      <c r="C130" s="68" t="s">
        <v>690</v>
      </c>
      <c r="D130" s="67" t="s">
        <v>275</v>
      </c>
      <c r="E130" s="67" t="s">
        <v>19</v>
      </c>
      <c r="F130" s="67" t="s">
        <v>19</v>
      </c>
      <c r="G130" s="67"/>
      <c r="H130" s="67"/>
      <c r="I130" s="66"/>
      <c r="J130" s="66"/>
      <c r="K130" s="66"/>
      <c r="L130" s="66" t="s">
        <v>820</v>
      </c>
      <c r="M130" s="66"/>
      <c r="N130" s="68"/>
      <c r="O130" s="134">
        <v>0</v>
      </c>
      <c r="P130" s="134">
        <f>COUNTA(Tab_Transport[[#This Row],[Investment]])</f>
        <v>0</v>
      </c>
      <c r="Q130" s="134">
        <f>COUNTA(Tab_Transport[[#This Row],[Lead department]])</f>
        <v>0</v>
      </c>
      <c r="R130" s="133">
        <f>COUNTA(Tab_Transport[[#This Row],[Spec target / outcomes]])</f>
        <v>0</v>
      </c>
      <c r="S130" s="133">
        <f>COUNTA(Tab_Transport[[#This Row],[Obligations]])</f>
        <v>0</v>
      </c>
      <c r="T130" s="134">
        <f t="shared" si="6"/>
        <v>0</v>
      </c>
      <c r="U130" s="133">
        <f t="shared" si="5"/>
        <v>1</v>
      </c>
      <c r="V130" s="208">
        <f>IF(Tab_Transport[[#This Row],[Energy demand focus]]="Y",Tab_Transport[[#This Row],[Category]],0)</f>
        <v>0</v>
      </c>
      <c r="W130" s="208">
        <f>IF(Tab_Transport[[#This Row],[Energy demand focus]]="Y",Tab_Transport[[#This Row],[Investment]],0)</f>
        <v>0</v>
      </c>
      <c r="X130" s="209">
        <f>IF(U130=1,Tab_Transport[[#This Row],[Investment]],0)</f>
        <v>0</v>
      </c>
    </row>
    <row r="131" spans="1:27" ht="30" x14ac:dyDescent="0.25">
      <c r="A131" s="66">
        <v>91</v>
      </c>
      <c r="B131" s="66">
        <v>26</v>
      </c>
      <c r="C131" s="68" t="s">
        <v>690</v>
      </c>
      <c r="D131" s="67" t="s">
        <v>276</v>
      </c>
      <c r="E131" s="67" t="s">
        <v>11</v>
      </c>
      <c r="F131" s="67" t="s">
        <v>11</v>
      </c>
      <c r="G131" s="67"/>
      <c r="H131" s="67"/>
      <c r="I131" s="66"/>
      <c r="J131" s="66"/>
      <c r="K131" s="66"/>
      <c r="L131" s="66" t="s">
        <v>84</v>
      </c>
      <c r="M131" s="66"/>
      <c r="N131" s="68"/>
      <c r="O131" s="134">
        <v>0</v>
      </c>
      <c r="P131" s="134">
        <f>COUNTA(Tab_Transport[[#This Row],[Investment]])</f>
        <v>0</v>
      </c>
      <c r="Q131" s="134">
        <f>COUNTA(Tab_Transport[[#This Row],[Lead department]])</f>
        <v>0</v>
      </c>
      <c r="R131" s="133">
        <f>COUNTA(Tab_Transport[[#This Row],[Spec target / outcomes]])</f>
        <v>0</v>
      </c>
      <c r="S131" s="133">
        <f>COUNTA(Tab_Transport[[#This Row],[Obligations]])</f>
        <v>0</v>
      </c>
      <c r="T131" s="134">
        <f t="shared" si="6"/>
        <v>1</v>
      </c>
      <c r="U131" s="133">
        <f t="shared" si="5"/>
        <v>0</v>
      </c>
      <c r="V131" s="208" t="str">
        <f>IF(Tab_Transport[[#This Row],[Energy demand focus]]="Y",Tab_Transport[[#This Row],[Category]],0)</f>
        <v>-</v>
      </c>
      <c r="W131" s="208">
        <f>IF(Tab_Transport[[#This Row],[Energy demand focus]]="Y",Tab_Transport[[#This Row],[Investment]],0)</f>
        <v>0</v>
      </c>
      <c r="X131" s="209">
        <f>IF(U131=1,Tab_Transport[[#This Row],[Investment]],0)</f>
        <v>0</v>
      </c>
    </row>
    <row r="132" spans="1:27" ht="30" x14ac:dyDescent="0.25">
      <c r="A132" s="66">
        <v>91</v>
      </c>
      <c r="B132" s="66"/>
      <c r="C132" s="112" t="s">
        <v>694</v>
      </c>
      <c r="D132" s="67" t="s">
        <v>296</v>
      </c>
      <c r="E132" s="67" t="s">
        <v>122</v>
      </c>
      <c r="F132" s="67" t="s">
        <v>1</v>
      </c>
      <c r="G132" s="67" t="s">
        <v>191</v>
      </c>
      <c r="H132" s="75" t="s">
        <v>277</v>
      </c>
      <c r="I132" s="66"/>
      <c r="J132" s="66"/>
      <c r="K132" s="66"/>
      <c r="L132" s="66" t="s">
        <v>192</v>
      </c>
      <c r="M132" s="66"/>
      <c r="N132" s="68"/>
      <c r="O132" s="134">
        <v>1</v>
      </c>
      <c r="P132" s="134">
        <f>COUNTA(Tab_Transport[[#This Row],[Investment]])</f>
        <v>1</v>
      </c>
      <c r="Q132" s="134">
        <f>COUNTA(Tab_Transport[[#This Row],[Lead department]])</f>
        <v>0</v>
      </c>
      <c r="R132" s="133">
        <f>COUNTA(Tab_Transport[[#This Row],[Spec target / outcomes]])</f>
        <v>0</v>
      </c>
      <c r="S132" s="133">
        <f>COUNTA(Tab_Transport[[#This Row],[Obligations]])</f>
        <v>0</v>
      </c>
      <c r="T132" s="134">
        <f t="shared" si="6"/>
        <v>0</v>
      </c>
      <c r="U132" s="133">
        <f t="shared" si="5"/>
        <v>0</v>
      </c>
      <c r="V132" s="208">
        <f>IF(Tab_Transport[[#This Row],[Energy demand focus]]="Y",Tab_Transport[[#This Row],[Category]],0)</f>
        <v>0</v>
      </c>
      <c r="W132" s="208">
        <f>IF(Tab_Transport[[#This Row],[Energy demand focus]]="Y",Tab_Transport[[#This Row],[Investment]],0)</f>
        <v>0</v>
      </c>
      <c r="X132" s="209">
        <f>IF(U132=1,Tab_Transport[[#This Row],[Investment]],0)</f>
        <v>0</v>
      </c>
    </row>
    <row r="133" spans="1:27" ht="45" x14ac:dyDescent="0.25">
      <c r="A133" s="66">
        <v>91</v>
      </c>
      <c r="B133" s="66"/>
      <c r="C133" s="112" t="s">
        <v>694</v>
      </c>
      <c r="D133" s="67" t="s">
        <v>279</v>
      </c>
      <c r="E133" s="67" t="s">
        <v>122</v>
      </c>
      <c r="F133" s="67" t="s">
        <v>1</v>
      </c>
      <c r="G133" s="67" t="s">
        <v>278</v>
      </c>
      <c r="H133" s="72" t="s">
        <v>281</v>
      </c>
      <c r="I133" s="66"/>
      <c r="J133" s="66"/>
      <c r="K133" s="66"/>
      <c r="L133" s="66" t="s">
        <v>820</v>
      </c>
      <c r="M133" s="66"/>
      <c r="N133" s="68"/>
      <c r="O133" s="134">
        <v>1</v>
      </c>
      <c r="P133" s="134">
        <f>COUNTA(Tab_Transport[[#This Row],[Investment]])</f>
        <v>1</v>
      </c>
      <c r="Q133" s="134">
        <f>COUNTA(Tab_Transport[[#This Row],[Lead department]])</f>
        <v>0</v>
      </c>
      <c r="R133" s="133">
        <f>COUNTA(Tab_Transport[[#This Row],[Spec target / outcomes]])</f>
        <v>0</v>
      </c>
      <c r="S133" s="133">
        <f>COUNTA(Tab_Transport[[#This Row],[Obligations]])</f>
        <v>0</v>
      </c>
      <c r="T133" s="134">
        <f t="shared" si="6"/>
        <v>0</v>
      </c>
      <c r="U133" s="133">
        <f t="shared" si="5"/>
        <v>1</v>
      </c>
      <c r="V133" s="208">
        <f>IF(Tab_Transport[[#This Row],[Energy demand focus]]="Y",Tab_Transport[[#This Row],[Category]],0)</f>
        <v>0</v>
      </c>
      <c r="W133" s="208">
        <f>IF(Tab_Transport[[#This Row],[Energy demand focus]]="Y",Tab_Transport[[#This Row],[Investment]],0)</f>
        <v>0</v>
      </c>
      <c r="X133" s="209" t="str">
        <f>IF(U133=1,Tab_Transport[[#This Row],[Investment]],0)</f>
        <v>£246 million</v>
      </c>
    </row>
    <row r="134" spans="1:27" ht="30" x14ac:dyDescent="0.25">
      <c r="A134" s="66">
        <v>91</v>
      </c>
      <c r="B134" s="66"/>
      <c r="C134" s="112" t="s">
        <v>694</v>
      </c>
      <c r="D134" s="67" t="s">
        <v>280</v>
      </c>
      <c r="E134" s="67" t="s">
        <v>122</v>
      </c>
      <c r="F134" s="67" t="s">
        <v>1</v>
      </c>
      <c r="G134" s="67"/>
      <c r="H134" s="67" t="s">
        <v>184</v>
      </c>
      <c r="I134" s="66"/>
      <c r="J134" s="66"/>
      <c r="K134" s="66"/>
      <c r="L134" s="66" t="s">
        <v>820</v>
      </c>
      <c r="M134" s="66"/>
      <c r="N134" s="68"/>
      <c r="O134" s="134">
        <v>0</v>
      </c>
      <c r="P134" s="134">
        <f>COUNTA(Tab_Transport[[#This Row],[Investment]])</f>
        <v>1</v>
      </c>
      <c r="Q134" s="134">
        <f>COUNTA(Tab_Transport[[#This Row],[Lead department]])</f>
        <v>0</v>
      </c>
      <c r="R134" s="133">
        <f>COUNTA(Tab_Transport[[#This Row],[Spec target / outcomes]])</f>
        <v>0</v>
      </c>
      <c r="S134" s="133">
        <f>COUNTA(Tab_Transport[[#This Row],[Obligations]])</f>
        <v>0</v>
      </c>
      <c r="T134" s="134">
        <f t="shared" si="6"/>
        <v>0</v>
      </c>
      <c r="U134" s="133">
        <f t="shared" si="5"/>
        <v>1</v>
      </c>
      <c r="V134" s="208">
        <f>IF(Tab_Transport[[#This Row],[Energy demand focus]]="Y",Tab_Transport[[#This Row],[Category]],0)</f>
        <v>0</v>
      </c>
      <c r="W134" s="208">
        <f>IF(Tab_Transport[[#This Row],[Energy demand focus]]="Y",Tab_Transport[[#This Row],[Investment]],0)</f>
        <v>0</v>
      </c>
      <c r="X134" s="209" t="str">
        <f>IF(U134=1,Tab_Transport[[#This Row],[Investment]],0)</f>
        <v>£10 million</v>
      </c>
    </row>
    <row r="135" spans="1:27" ht="60" x14ac:dyDescent="0.25">
      <c r="A135" s="66">
        <v>92</v>
      </c>
      <c r="B135" s="66"/>
      <c r="C135" s="112" t="s">
        <v>694</v>
      </c>
      <c r="D135" s="67" t="s">
        <v>284</v>
      </c>
      <c r="E135" s="67" t="s">
        <v>122</v>
      </c>
      <c r="F135" s="67" t="s">
        <v>1</v>
      </c>
      <c r="G135" s="67" t="s">
        <v>283</v>
      </c>
      <c r="H135" s="67" t="s">
        <v>282</v>
      </c>
      <c r="I135" s="66"/>
      <c r="J135" s="66"/>
      <c r="K135" s="66"/>
      <c r="L135" s="66" t="s">
        <v>351</v>
      </c>
      <c r="M135" s="66"/>
      <c r="N135" s="68"/>
      <c r="O135" s="134">
        <v>1</v>
      </c>
      <c r="P135" s="134">
        <f>COUNTA(Tab_Transport[[#This Row],[Investment]])</f>
        <v>1</v>
      </c>
      <c r="Q135" s="134">
        <f>COUNTA(Tab_Transport[[#This Row],[Lead department]])</f>
        <v>0</v>
      </c>
      <c r="R135" s="133">
        <f>COUNTA(Tab_Transport[[#This Row],[Spec target / outcomes]])</f>
        <v>0</v>
      </c>
      <c r="S135" s="133">
        <f>COUNTA(Tab_Transport[[#This Row],[Obligations]])</f>
        <v>0</v>
      </c>
      <c r="T135" s="134">
        <f t="shared" si="6"/>
        <v>0</v>
      </c>
      <c r="U135" s="133">
        <f t="shared" si="5"/>
        <v>0</v>
      </c>
      <c r="V135" s="208">
        <f>IF(Tab_Transport[[#This Row],[Energy demand focus]]="Y",Tab_Transport[[#This Row],[Category]],0)</f>
        <v>0</v>
      </c>
      <c r="W135" s="208">
        <f>IF(Tab_Transport[[#This Row],[Energy demand focus]]="Y",Tab_Transport[[#This Row],[Investment]],0)</f>
        <v>0</v>
      </c>
      <c r="X135" s="209">
        <f>IF(U135=1,Tab_Transport[[#This Row],[Investment]],0)</f>
        <v>0</v>
      </c>
    </row>
    <row r="136" spans="1:27" ht="30" x14ac:dyDescent="0.25">
      <c r="A136" s="66">
        <v>92</v>
      </c>
      <c r="B136" s="66"/>
      <c r="C136" s="112" t="s">
        <v>694</v>
      </c>
      <c r="D136" s="67" t="s">
        <v>286</v>
      </c>
      <c r="E136" s="67" t="s">
        <v>122</v>
      </c>
      <c r="F136" s="67" t="s">
        <v>1</v>
      </c>
      <c r="G136" s="67" t="s">
        <v>191</v>
      </c>
      <c r="H136" s="67" t="s">
        <v>285</v>
      </c>
      <c r="I136" s="66"/>
      <c r="J136" s="66"/>
      <c r="K136" s="66"/>
      <c r="L136" s="66" t="s">
        <v>820</v>
      </c>
      <c r="M136" s="66"/>
      <c r="N136" s="68"/>
      <c r="O136" s="134">
        <v>1</v>
      </c>
      <c r="P136" s="134">
        <f>COUNTA(Tab_Transport[[#This Row],[Investment]])</f>
        <v>1</v>
      </c>
      <c r="Q136" s="134">
        <f>COUNTA(Tab_Transport[[#This Row],[Lead department]])</f>
        <v>0</v>
      </c>
      <c r="R136" s="133">
        <f>COUNTA(Tab_Transport[[#This Row],[Spec target / outcomes]])</f>
        <v>0</v>
      </c>
      <c r="S136" s="133">
        <f>COUNTA(Tab_Transport[[#This Row],[Obligations]])</f>
        <v>0</v>
      </c>
      <c r="T136" s="134">
        <f t="shared" si="6"/>
        <v>0</v>
      </c>
      <c r="U136" s="133">
        <f t="shared" si="5"/>
        <v>1</v>
      </c>
      <c r="V136" s="208">
        <f>IF(Tab_Transport[[#This Row],[Energy demand focus]]="Y",Tab_Transport[[#This Row],[Category]],0)</f>
        <v>0</v>
      </c>
      <c r="W136" s="208">
        <f>IF(Tab_Transport[[#This Row],[Energy demand focus]]="Y",Tab_Transport[[#This Row],[Investment]],0)</f>
        <v>0</v>
      </c>
      <c r="X136" s="209" t="str">
        <f>IF(U136=1,Tab_Transport[[#This Row],[Investment]],0)</f>
        <v>£40 million</v>
      </c>
    </row>
    <row r="137" spans="1:27" ht="45" x14ac:dyDescent="0.25">
      <c r="A137" s="66">
        <v>92</v>
      </c>
      <c r="B137" s="66"/>
      <c r="C137" s="112" t="s">
        <v>694</v>
      </c>
      <c r="D137" s="67" t="s">
        <v>470</v>
      </c>
      <c r="E137" s="67" t="s">
        <v>122</v>
      </c>
      <c r="F137" s="67" t="s">
        <v>1</v>
      </c>
      <c r="G137" s="67" t="s">
        <v>287</v>
      </c>
      <c r="H137" s="67" t="s">
        <v>288</v>
      </c>
      <c r="I137" s="66"/>
      <c r="J137" s="66"/>
      <c r="K137" s="66"/>
      <c r="L137" s="66" t="s">
        <v>820</v>
      </c>
      <c r="M137" s="66"/>
      <c r="N137" s="68" t="s">
        <v>600</v>
      </c>
      <c r="O137" s="134">
        <v>1</v>
      </c>
      <c r="P137" s="134">
        <f>COUNTA(Tab_Transport[[#This Row],[Investment]])</f>
        <v>1</v>
      </c>
      <c r="Q137" s="134">
        <f>COUNTA(Tab_Transport[[#This Row],[Lead department]])</f>
        <v>0</v>
      </c>
      <c r="R137" s="133">
        <f>COUNTA(Tab_Transport[[#This Row],[Spec target / outcomes]])</f>
        <v>0</v>
      </c>
      <c r="S137" s="133">
        <f>COUNTA(Tab_Transport[[#This Row],[Obligations]])</f>
        <v>0</v>
      </c>
      <c r="T137" s="134">
        <f t="shared" si="6"/>
        <v>0</v>
      </c>
      <c r="U137" s="133">
        <f t="shared" si="5"/>
        <v>1</v>
      </c>
      <c r="V137" s="208">
        <f>IF(Tab_Transport[[#This Row],[Energy demand focus]]="Y",Tab_Transport[[#This Row],[Category]],0)</f>
        <v>0</v>
      </c>
      <c r="W137" s="208">
        <f>IF(Tab_Transport[[#This Row],[Energy demand focus]]="Y",Tab_Transport[[#This Row],[Investment]],0)</f>
        <v>0</v>
      </c>
      <c r="X137" s="209" t="str">
        <f>IF(U137=1,Tab_Transport[[#This Row],[Investment]],0)</f>
        <v>£20 million</v>
      </c>
    </row>
    <row r="138" spans="1:27" ht="60" x14ac:dyDescent="0.25">
      <c r="A138" s="66">
        <v>92</v>
      </c>
      <c r="B138" s="66"/>
      <c r="C138" s="112" t="s">
        <v>694</v>
      </c>
      <c r="D138" s="67" t="s">
        <v>603</v>
      </c>
      <c r="E138" s="67" t="s">
        <v>122</v>
      </c>
      <c r="F138" s="67" t="s">
        <v>1</v>
      </c>
      <c r="G138" s="67" t="s">
        <v>616</v>
      </c>
      <c r="H138" s="67" t="s">
        <v>288</v>
      </c>
      <c r="I138" s="66"/>
      <c r="J138" s="66"/>
      <c r="K138" s="66"/>
      <c r="L138" s="66" t="s">
        <v>820</v>
      </c>
      <c r="M138" s="66"/>
      <c r="N138" s="68"/>
      <c r="O138" s="134">
        <v>1</v>
      </c>
      <c r="P138" s="134">
        <f>COUNTA(Tab_Transport[[#This Row],[Investment]])</f>
        <v>1</v>
      </c>
      <c r="Q138" s="134">
        <f>COUNTA(Tab_Transport[[#This Row],[Lead department]])</f>
        <v>0</v>
      </c>
      <c r="R138" s="133">
        <f>COUNTA(Tab_Transport[[#This Row],[Spec target / outcomes]])</f>
        <v>0</v>
      </c>
      <c r="S138" s="133">
        <f>COUNTA(Tab_Transport[[#This Row],[Obligations]])</f>
        <v>0</v>
      </c>
      <c r="T138" s="134">
        <f t="shared" si="6"/>
        <v>0</v>
      </c>
      <c r="U138" s="133">
        <f t="shared" si="5"/>
        <v>1</v>
      </c>
      <c r="V138" s="208">
        <f>IF(Tab_Transport[[#This Row],[Energy demand focus]]="Y",Tab_Transport[[#This Row],[Category]],0)</f>
        <v>0</v>
      </c>
      <c r="W138" s="208">
        <f>IF(Tab_Transport[[#This Row],[Energy demand focus]]="Y",Tab_Transport[[#This Row],[Investment]],0)</f>
        <v>0</v>
      </c>
      <c r="X138" s="209" t="str">
        <f>IF(U138=1,Tab_Transport[[#This Row],[Investment]],0)</f>
        <v>£20 million</v>
      </c>
    </row>
    <row r="139" spans="1:27" ht="45" x14ac:dyDescent="0.25">
      <c r="A139" s="66">
        <v>92</v>
      </c>
      <c r="B139" s="66"/>
      <c r="C139" s="112" t="s">
        <v>694</v>
      </c>
      <c r="D139" s="67" t="s">
        <v>289</v>
      </c>
      <c r="E139" s="67" t="s">
        <v>122</v>
      </c>
      <c r="F139" s="67" t="s">
        <v>1</v>
      </c>
      <c r="G139" s="67" t="s">
        <v>475</v>
      </c>
      <c r="H139" s="67"/>
      <c r="I139" s="66"/>
      <c r="J139" s="66"/>
      <c r="K139" s="66"/>
      <c r="L139" s="66" t="s">
        <v>84</v>
      </c>
      <c r="M139" s="66"/>
      <c r="N139" s="68"/>
      <c r="O139" s="134">
        <v>1</v>
      </c>
      <c r="P139" s="134">
        <f>COUNTA(Tab_Transport[[#This Row],[Investment]])</f>
        <v>0</v>
      </c>
      <c r="Q139" s="134">
        <f>COUNTA(Tab_Transport[[#This Row],[Lead department]])</f>
        <v>0</v>
      </c>
      <c r="R139" s="133">
        <f>COUNTA(Tab_Transport[[#This Row],[Spec target / outcomes]])</f>
        <v>0</v>
      </c>
      <c r="S139" s="133">
        <f>COUNTA(Tab_Transport[[#This Row],[Obligations]])</f>
        <v>0</v>
      </c>
      <c r="T139" s="134">
        <f t="shared" si="6"/>
        <v>1</v>
      </c>
      <c r="U139" s="133">
        <f t="shared" si="5"/>
        <v>0</v>
      </c>
      <c r="V139" s="208" t="str">
        <f>IF(Tab_Transport[[#This Row],[Energy demand focus]]="Y",Tab_Transport[[#This Row],[Category]],0)</f>
        <v>Investment</v>
      </c>
      <c r="W139" s="208">
        <f>IF(Tab_Transport[[#This Row],[Energy demand focus]]="Y",Tab_Transport[[#This Row],[Investment]],0)</f>
        <v>0</v>
      </c>
      <c r="X139" s="209">
        <f>IF(U139=1,Tab_Transport[[#This Row],[Investment]],0)</f>
        <v>0</v>
      </c>
    </row>
    <row r="140" spans="1:27" ht="30" x14ac:dyDescent="0.25">
      <c r="A140" s="66">
        <v>135</v>
      </c>
      <c r="B140" s="66"/>
      <c r="C140" s="112" t="s">
        <v>694</v>
      </c>
      <c r="D140" s="67" t="s">
        <v>624</v>
      </c>
      <c r="E140" s="67" t="s">
        <v>268</v>
      </c>
      <c r="F140" s="67" t="s">
        <v>130</v>
      </c>
      <c r="G140" s="67" t="s">
        <v>625</v>
      </c>
      <c r="H140" s="67"/>
      <c r="I140" s="66"/>
      <c r="J140" s="66"/>
      <c r="K140" s="66"/>
      <c r="L140" s="66" t="s">
        <v>84</v>
      </c>
      <c r="M140" s="66"/>
      <c r="N140" s="68"/>
      <c r="O140" s="134">
        <v>1</v>
      </c>
      <c r="P140" s="134">
        <f>COUNTA(Tab_Transport[[#This Row],[Investment]])</f>
        <v>0</v>
      </c>
      <c r="Q140" s="134">
        <f>COUNTA(Tab_Transport[[#This Row],[Lead department]])</f>
        <v>0</v>
      </c>
      <c r="R140" s="133">
        <f>COUNTA(Tab_Transport[[#This Row],[Spec target / outcomes]])</f>
        <v>0</v>
      </c>
      <c r="S140" s="133">
        <f>COUNTA(Tab_Transport[[#This Row],[Obligations]])</f>
        <v>0</v>
      </c>
      <c r="T140" s="134">
        <f t="shared" si="6"/>
        <v>1</v>
      </c>
      <c r="U140" s="133">
        <f t="shared" si="5"/>
        <v>0</v>
      </c>
      <c r="V140" s="208" t="str">
        <f>IF(Tab_Transport[[#This Row],[Energy demand focus]]="Y",Tab_Transport[[#This Row],[Category]],0)</f>
        <v>Various</v>
      </c>
      <c r="W140" s="208">
        <f>IF(Tab_Transport[[#This Row],[Energy demand focus]]="Y",Tab_Transport[[#This Row],[Investment]],0)</f>
        <v>0</v>
      </c>
      <c r="X140" s="209">
        <f>IF(U140=1,Tab_Transport[[#This Row],[Investment]],0)</f>
        <v>0</v>
      </c>
    </row>
    <row r="141" spans="1:27" ht="60" x14ac:dyDescent="0.25">
      <c r="A141" s="70">
        <v>92</v>
      </c>
      <c r="B141" s="70"/>
      <c r="C141" s="112" t="s">
        <v>694</v>
      </c>
      <c r="D141" s="71" t="s">
        <v>626</v>
      </c>
      <c r="E141" s="71" t="s">
        <v>292</v>
      </c>
      <c r="F141" s="71" t="s">
        <v>1</v>
      </c>
      <c r="G141" s="71" t="s">
        <v>290</v>
      </c>
      <c r="H141" s="71" t="s">
        <v>291</v>
      </c>
      <c r="I141" s="70"/>
      <c r="J141" s="70"/>
      <c r="K141" s="70"/>
      <c r="L141" s="70" t="s">
        <v>192</v>
      </c>
      <c r="M141" s="70"/>
      <c r="N141" s="123"/>
      <c r="O141" s="135">
        <v>1</v>
      </c>
      <c r="P141" s="134">
        <f>COUNTA(Tab_Transport[[#This Row],[Investment]])</f>
        <v>1</v>
      </c>
      <c r="Q141" s="134">
        <f>COUNTA(Tab_Transport[[#This Row],[Lead department]])</f>
        <v>0</v>
      </c>
      <c r="R141" s="133">
        <f>COUNTA(Tab_Transport[[#This Row],[Spec target / outcomes]])</f>
        <v>0</v>
      </c>
      <c r="S141" s="133">
        <f>COUNTA(Tab_Transport[[#This Row],[Obligations]])</f>
        <v>0</v>
      </c>
      <c r="T141" s="135">
        <f t="shared" si="6"/>
        <v>0</v>
      </c>
      <c r="U141" s="133">
        <f t="shared" si="5"/>
        <v>0</v>
      </c>
      <c r="V141" s="210">
        <f>IF(Tab_Transport[[#This Row],[Energy demand focus]]="Y",Tab_Transport[[#This Row],[Category]],0)</f>
        <v>0</v>
      </c>
      <c r="W141" s="210">
        <f>IF(Tab_Transport[[#This Row],[Energy demand focus]]="Y",Tab_Transport[[#This Row],[Investment]],0)</f>
        <v>0</v>
      </c>
      <c r="X141" s="209">
        <f>IF(U141=1,Tab_Transport[[#This Row],[Investment]],0)</f>
        <v>0</v>
      </c>
    </row>
    <row r="142" spans="1:27" x14ac:dyDescent="0.25">
      <c r="O142" s="315" t="s">
        <v>826</v>
      </c>
      <c r="P142" s="315"/>
      <c r="Q142" s="315"/>
      <c r="R142" s="315"/>
      <c r="S142" s="315"/>
      <c r="T142" s="315"/>
      <c r="U142" s="315"/>
      <c r="V142" s="315"/>
      <c r="W142" s="315" t="s">
        <v>825</v>
      </c>
      <c r="X142" s="315"/>
    </row>
    <row r="143" spans="1:27" x14ac:dyDescent="0.25">
      <c r="O143" s="103">
        <f>SUM(Tab_Transport[Time])</f>
        <v>36</v>
      </c>
      <c r="P143" s="103">
        <f>SUM(Tab_Transport[Inv])</f>
        <v>17</v>
      </c>
      <c r="Q143" s="103">
        <f>SUM(Tab_Transport[Dep])</f>
        <v>11</v>
      </c>
      <c r="R143" s="103">
        <f>SUM(Tab_Transport[Targ])</f>
        <v>16</v>
      </c>
      <c r="S143" s="103">
        <f>SUM(Tab_Transport[Obl])</f>
        <v>9</v>
      </c>
      <c r="T143" s="103">
        <f>SUM(Tab_Transport[Dem-yes])</f>
        <v>11</v>
      </c>
      <c r="U143" s="103">
        <f>SUM(Tab_Transport[Dem-no])</f>
        <v>29</v>
      </c>
      <c r="W143" s="103"/>
      <c r="X143" s="103"/>
      <c r="Y143" s="103"/>
      <c r="Z143" s="96"/>
      <c r="AA143" s="96"/>
    </row>
    <row r="144" spans="1:27" x14ac:dyDescent="0.25">
      <c r="P144" s="22"/>
      <c r="Q144" s="105"/>
      <c r="R144" s="105"/>
      <c r="S144" s="105"/>
      <c r="T144" s="21"/>
    </row>
    <row r="145" spans="1:24" x14ac:dyDescent="0.25">
      <c r="P145" s="22"/>
      <c r="Q145" s="105"/>
      <c r="R145" s="105"/>
      <c r="S145" s="105"/>
      <c r="T145" s="21"/>
    </row>
    <row r="146" spans="1:24" ht="21" x14ac:dyDescent="0.35">
      <c r="A146" s="76" t="s">
        <v>301</v>
      </c>
      <c r="P146" s="22"/>
      <c r="Q146" s="105"/>
      <c r="R146" s="105"/>
      <c r="S146" s="105"/>
      <c r="T146" s="21"/>
    </row>
    <row r="147" spans="1:24" ht="18.75" x14ac:dyDescent="0.3">
      <c r="A147" s="77" t="s">
        <v>302</v>
      </c>
      <c r="P147" s="22"/>
      <c r="Q147" s="105"/>
      <c r="R147" s="105"/>
      <c r="S147" s="105"/>
      <c r="T147" s="21"/>
    </row>
    <row r="148" spans="1:24" x14ac:dyDescent="0.25">
      <c r="M148" s="103"/>
      <c r="P148" s="104"/>
      <c r="Q148" s="104"/>
      <c r="R148" s="104"/>
      <c r="S148" s="104"/>
      <c r="T148" s="96"/>
    </row>
    <row r="149" spans="1:24" ht="45" x14ac:dyDescent="0.25">
      <c r="A149" s="82" t="s">
        <v>2</v>
      </c>
      <c r="B149" s="82" t="s">
        <v>85</v>
      </c>
      <c r="C149" s="84" t="s">
        <v>681</v>
      </c>
      <c r="D149" s="83" t="s">
        <v>7</v>
      </c>
      <c r="E149" s="83" t="s">
        <v>8</v>
      </c>
      <c r="F149" s="83" t="s">
        <v>713</v>
      </c>
      <c r="G149" s="83" t="s">
        <v>4</v>
      </c>
      <c r="H149" s="83" t="s">
        <v>1</v>
      </c>
      <c r="I149" s="82" t="s">
        <v>558</v>
      </c>
      <c r="J149" s="82" t="s">
        <v>715</v>
      </c>
      <c r="K149" s="82" t="s">
        <v>709</v>
      </c>
      <c r="L149" s="82" t="s">
        <v>66</v>
      </c>
      <c r="M149" s="82" t="s">
        <v>157</v>
      </c>
      <c r="N149" s="84" t="s">
        <v>3</v>
      </c>
      <c r="O149" s="84" t="s">
        <v>704</v>
      </c>
      <c r="P149" s="84" t="s">
        <v>705</v>
      </c>
      <c r="Q149" s="84" t="s">
        <v>706</v>
      </c>
      <c r="R149" s="84" t="s">
        <v>710</v>
      </c>
      <c r="S149" s="84" t="s">
        <v>711</v>
      </c>
      <c r="T149" s="84" t="s">
        <v>707</v>
      </c>
      <c r="U149" s="84" t="s">
        <v>708</v>
      </c>
      <c r="V149" s="212" t="s">
        <v>797</v>
      </c>
      <c r="W149" s="212" t="s">
        <v>860</v>
      </c>
      <c r="X149" s="212" t="s">
        <v>861</v>
      </c>
    </row>
    <row r="150" spans="1:24" ht="45" x14ac:dyDescent="0.25">
      <c r="A150" s="78">
        <v>99</v>
      </c>
      <c r="B150" s="66">
        <v>1</v>
      </c>
      <c r="C150" s="68" t="s">
        <v>691</v>
      </c>
      <c r="D150" s="67" t="s">
        <v>303</v>
      </c>
      <c r="E150" s="67" t="s">
        <v>103</v>
      </c>
      <c r="F150" s="67" t="s">
        <v>785</v>
      </c>
      <c r="G150" s="67" t="s">
        <v>510</v>
      </c>
      <c r="H150" s="67"/>
      <c r="I150" s="66" t="s">
        <v>559</v>
      </c>
      <c r="J150" s="66" t="s">
        <v>84</v>
      </c>
      <c r="K150" s="66"/>
      <c r="L150" s="66" t="s">
        <v>67</v>
      </c>
      <c r="M150" s="66"/>
      <c r="N150" s="79" t="s">
        <v>304</v>
      </c>
      <c r="O150" s="133">
        <v>1</v>
      </c>
      <c r="P150" s="133">
        <f>COUNTA(Tab_Power[[#This Row],[Investment]])</f>
        <v>0</v>
      </c>
      <c r="Q150" s="133">
        <f>COUNTA(Tab_Power[[#This Row],[Lead department]])</f>
        <v>1</v>
      </c>
      <c r="R150" s="133">
        <f>COUNTA(Tab_Power[[#This Row],[Spec targets / outcomes]])</f>
        <v>1</v>
      </c>
      <c r="S150" s="133">
        <f>COUNTA(Tab_Power[[#This Row],[Obligations]])</f>
        <v>0</v>
      </c>
      <c r="T150" s="133">
        <f t="shared" ref="T150:T176" si="7">COUNTIF(L150,"=Y")</f>
        <v>0</v>
      </c>
      <c r="U150" s="133">
        <f t="shared" ref="U150:U176" si="8">COUNTIF(L150,"=N")</f>
        <v>1</v>
      </c>
      <c r="V150" s="209">
        <f>IF(Tab_Power[[#This Row],[Energy demand focus]]="Y",Tab_Power[[#This Row],[Category]],0)</f>
        <v>0</v>
      </c>
      <c r="W150" s="209">
        <f>IF(Tab_Power[[#This Row],[Energy demand focus]]="Y",Tab_Power[[#This Row],[Investment]],0)</f>
        <v>0</v>
      </c>
      <c r="X150" s="209">
        <f>IF(Tab_Power[[#This Row],[Energy demand focus]]="N",Tab_Power[[#This Row],[Investment]],0)</f>
        <v>0</v>
      </c>
    </row>
    <row r="151" spans="1:24" ht="45" x14ac:dyDescent="0.25">
      <c r="A151" s="78">
        <v>99</v>
      </c>
      <c r="B151" s="66">
        <v>2</v>
      </c>
      <c r="C151" s="68" t="s">
        <v>691</v>
      </c>
      <c r="D151" s="67" t="s">
        <v>305</v>
      </c>
      <c r="E151" s="67" t="s">
        <v>130</v>
      </c>
      <c r="F151" s="67" t="s">
        <v>799</v>
      </c>
      <c r="G151" s="67" t="s">
        <v>506</v>
      </c>
      <c r="H151" s="67"/>
      <c r="I151" s="66"/>
      <c r="J151" s="66" t="s">
        <v>84</v>
      </c>
      <c r="K151" s="66"/>
      <c r="L151" s="66" t="s">
        <v>67</v>
      </c>
      <c r="M151" s="66"/>
      <c r="N151" s="79"/>
      <c r="O151" s="134">
        <v>1</v>
      </c>
      <c r="P151" s="134">
        <f>COUNTA(Tab_Power[[#This Row],[Investment]])</f>
        <v>0</v>
      </c>
      <c r="Q151" s="134">
        <f>COUNTA(Tab_Power[[#This Row],[Lead department]])</f>
        <v>0</v>
      </c>
      <c r="R151" s="133">
        <f>COUNTA(Tab_Power[[#This Row],[Spec targets / outcomes]])</f>
        <v>1</v>
      </c>
      <c r="S151" s="133">
        <f>COUNTA(Tab_Power[[#This Row],[Obligations]])</f>
        <v>0</v>
      </c>
      <c r="T151" s="134">
        <f t="shared" si="7"/>
        <v>0</v>
      </c>
      <c r="U151" s="134">
        <f t="shared" si="8"/>
        <v>1</v>
      </c>
      <c r="V151" s="209">
        <f>IF(Tab_Power[[#This Row],[Energy demand focus]]="Y",Tab_Power[[#This Row],[Category]],0)</f>
        <v>0</v>
      </c>
      <c r="W151" s="208">
        <f>IF(Tab_Power[[#This Row],[Energy demand focus]]="Y",Tab_Power[[#This Row],[Investment]],0)</f>
        <v>0</v>
      </c>
      <c r="X151" s="208">
        <f>IF(Tab_Power[[#This Row],[Energy demand focus]]="N",Tab_Power[[#This Row],[Investment]],0)</f>
        <v>0</v>
      </c>
    </row>
    <row r="152" spans="1:24" ht="30" x14ac:dyDescent="0.25">
      <c r="A152" s="78">
        <v>99</v>
      </c>
      <c r="B152" s="66" t="s">
        <v>88</v>
      </c>
      <c r="C152" s="68" t="s">
        <v>691</v>
      </c>
      <c r="D152" s="67" t="s">
        <v>307</v>
      </c>
      <c r="E152" s="67" t="s">
        <v>306</v>
      </c>
      <c r="F152" s="67" t="s">
        <v>388</v>
      </c>
      <c r="G152" s="67"/>
      <c r="H152" s="67"/>
      <c r="I152" s="66"/>
      <c r="J152" s="66" t="s">
        <v>768</v>
      </c>
      <c r="K152" s="66"/>
      <c r="L152" s="66" t="s">
        <v>67</v>
      </c>
      <c r="M152" s="66"/>
      <c r="N152" s="79"/>
      <c r="O152" s="134">
        <v>0</v>
      </c>
      <c r="P152" s="134">
        <f>COUNTA(Tab_Power[[#This Row],[Investment]])</f>
        <v>0</v>
      </c>
      <c r="Q152" s="134">
        <f>COUNTA(Tab_Power[[#This Row],[Lead department]])</f>
        <v>0</v>
      </c>
      <c r="R152" s="133">
        <f>COUNTA(Tab_Power[[#This Row],[Spec targets / outcomes]])</f>
        <v>1</v>
      </c>
      <c r="S152" s="133">
        <f>COUNTA(Tab_Power[[#This Row],[Obligations]])</f>
        <v>0</v>
      </c>
      <c r="T152" s="134">
        <f t="shared" si="7"/>
        <v>0</v>
      </c>
      <c r="U152" s="134">
        <f t="shared" si="8"/>
        <v>1</v>
      </c>
      <c r="V152" s="209">
        <f>IF(Tab_Power[[#This Row],[Energy demand focus]]="Y",Tab_Power[[#This Row],[Category]],0)</f>
        <v>0</v>
      </c>
      <c r="W152" s="208">
        <f>IF(Tab_Power[[#This Row],[Energy demand focus]]="Y",Tab_Power[[#This Row],[Investment]],0)</f>
        <v>0</v>
      </c>
      <c r="X152" s="208">
        <f>IF(Tab_Power[[#This Row],[Energy demand focus]]="N",Tab_Power[[#This Row],[Investment]],0)</f>
        <v>0</v>
      </c>
    </row>
    <row r="153" spans="1:24" ht="30" x14ac:dyDescent="0.25">
      <c r="A153" s="78">
        <v>99</v>
      </c>
      <c r="B153" s="66" t="s">
        <v>90</v>
      </c>
      <c r="C153" s="68" t="s">
        <v>691</v>
      </c>
      <c r="D153" s="67" t="s">
        <v>639</v>
      </c>
      <c r="E153" s="67" t="s">
        <v>122</v>
      </c>
      <c r="F153" s="67" t="s">
        <v>1</v>
      </c>
      <c r="G153" s="67" t="s">
        <v>495</v>
      </c>
      <c r="H153" s="67" t="s">
        <v>640</v>
      </c>
      <c r="I153" s="66" t="s">
        <v>559</v>
      </c>
      <c r="J153" s="66"/>
      <c r="K153" s="66"/>
      <c r="L153" s="66" t="s">
        <v>67</v>
      </c>
      <c r="M153" s="66"/>
      <c r="N153" s="79"/>
      <c r="O153" s="134">
        <v>1</v>
      </c>
      <c r="P153" s="134">
        <f>COUNTA(Tab_Power[[#This Row],[Investment]])</f>
        <v>1</v>
      </c>
      <c r="Q153" s="134">
        <f>COUNTA(Tab_Power[[#This Row],[Lead department]])</f>
        <v>1</v>
      </c>
      <c r="R153" s="133">
        <f>COUNTA(Tab_Power[[#This Row],[Spec targets / outcomes]])</f>
        <v>0</v>
      </c>
      <c r="S153" s="133">
        <f>COUNTA(Tab_Power[[#This Row],[Obligations]])</f>
        <v>0</v>
      </c>
      <c r="T153" s="134">
        <f t="shared" si="7"/>
        <v>0</v>
      </c>
      <c r="U153" s="134">
        <f t="shared" si="8"/>
        <v>1</v>
      </c>
      <c r="V153" s="209">
        <f>IF(Tab_Power[[#This Row],[Energy demand focus]]="Y",Tab_Power[[#This Row],[Category]],0)</f>
        <v>0</v>
      </c>
      <c r="W153" s="208">
        <f>IF(Tab_Power[[#This Row],[Energy demand focus]]="Y",Tab_Power[[#This Row],[Investment]],0)</f>
        <v>0</v>
      </c>
      <c r="X153" s="208" t="str">
        <f>IF(Tab_Power[[#This Row],[Energy demand focus]]="N",Tab_Power[[#This Row],[Investment]],0)</f>
        <v>£557 million</v>
      </c>
    </row>
    <row r="154" spans="1:24" ht="45" x14ac:dyDescent="0.25">
      <c r="A154" s="78">
        <v>99</v>
      </c>
      <c r="B154" s="66">
        <v>4</v>
      </c>
      <c r="C154" s="68" t="s">
        <v>691</v>
      </c>
      <c r="D154" s="67" t="s">
        <v>500</v>
      </c>
      <c r="E154" s="67" t="s">
        <v>14</v>
      </c>
      <c r="F154" s="67" t="s">
        <v>14</v>
      </c>
      <c r="G154" s="67" t="s">
        <v>501</v>
      </c>
      <c r="H154" s="67"/>
      <c r="I154" s="66" t="s">
        <v>559</v>
      </c>
      <c r="J154" s="66"/>
      <c r="K154" s="66"/>
      <c r="L154" s="66" t="s">
        <v>67</v>
      </c>
      <c r="M154" s="66"/>
      <c r="N154" s="79" t="s">
        <v>304</v>
      </c>
      <c r="O154" s="134">
        <v>1</v>
      </c>
      <c r="P154" s="134">
        <f>COUNTA(Tab_Power[[#This Row],[Investment]])</f>
        <v>0</v>
      </c>
      <c r="Q154" s="134">
        <f>COUNTA(Tab_Power[[#This Row],[Lead department]])</f>
        <v>1</v>
      </c>
      <c r="R154" s="133">
        <f>COUNTA(Tab_Power[[#This Row],[Spec targets / outcomes]])</f>
        <v>0</v>
      </c>
      <c r="S154" s="133">
        <f>COUNTA(Tab_Power[[#This Row],[Obligations]])</f>
        <v>0</v>
      </c>
      <c r="T154" s="134">
        <f t="shared" si="7"/>
        <v>0</v>
      </c>
      <c r="U154" s="134">
        <f t="shared" si="8"/>
        <v>1</v>
      </c>
      <c r="V154" s="209">
        <f>IF(Tab_Power[[#This Row],[Energy demand focus]]="Y",Tab_Power[[#This Row],[Category]],0)</f>
        <v>0</v>
      </c>
      <c r="W154" s="208">
        <f>IF(Tab_Power[[#This Row],[Energy demand focus]]="Y",Tab_Power[[#This Row],[Investment]],0)</f>
        <v>0</v>
      </c>
      <c r="X154" s="208">
        <f>IF(Tab_Power[[#This Row],[Energy demand focus]]="N",Tab_Power[[#This Row],[Investment]],0)</f>
        <v>0</v>
      </c>
    </row>
    <row r="155" spans="1:24" ht="75" x14ac:dyDescent="0.25">
      <c r="A155" s="80">
        <v>99</v>
      </c>
      <c r="B155" s="70">
        <v>5</v>
      </c>
      <c r="C155" s="68" t="s">
        <v>691</v>
      </c>
      <c r="D155" s="71" t="s">
        <v>308</v>
      </c>
      <c r="E155" s="71" t="s">
        <v>120</v>
      </c>
      <c r="F155" s="71" t="s">
        <v>784</v>
      </c>
      <c r="G155" s="71" t="s">
        <v>844</v>
      </c>
      <c r="H155" s="71"/>
      <c r="I155" s="70" t="s">
        <v>582</v>
      </c>
      <c r="J155" s="70"/>
      <c r="K155" s="70" t="s">
        <v>720</v>
      </c>
      <c r="L155" s="70" t="s">
        <v>16</v>
      </c>
      <c r="M155" s="70" t="s">
        <v>312</v>
      </c>
      <c r="N155" s="81" t="s">
        <v>843</v>
      </c>
      <c r="O155" s="134">
        <v>1</v>
      </c>
      <c r="P155" s="134">
        <f>COUNTA(Tab_Power[[#This Row],[Investment]])</f>
        <v>0</v>
      </c>
      <c r="Q155" s="134">
        <f>COUNTA(Tab_Power[[#This Row],[Lead department]])</f>
        <v>1</v>
      </c>
      <c r="R155" s="133">
        <f>COUNTA(Tab_Power[[#This Row],[Spec targets / outcomes]])</f>
        <v>0</v>
      </c>
      <c r="S155" s="133">
        <f>COUNTA(Tab_Power[[#This Row],[Obligations]])</f>
        <v>1</v>
      </c>
      <c r="T155" s="134">
        <f t="shared" si="7"/>
        <v>0</v>
      </c>
      <c r="U155" s="134">
        <f t="shared" si="8"/>
        <v>0</v>
      </c>
      <c r="V155" s="209">
        <f>IF(Tab_Power[[#This Row],[Energy demand focus]]="Y",Tab_Power[[#This Row],[Category]],0)</f>
        <v>0</v>
      </c>
      <c r="W155" s="208">
        <f>IF(Tab_Power[[#This Row],[Energy demand focus]]="Y",Tab_Power[[#This Row],[Investment]],0)</f>
        <v>0</v>
      </c>
      <c r="X155" s="208">
        <f>IF(Tab_Power[[#This Row],[Energy demand focus]]="N",Tab_Power[[#This Row],[Investment]],0)</f>
        <v>0</v>
      </c>
    </row>
    <row r="156" spans="1:24" ht="30" x14ac:dyDescent="0.25">
      <c r="A156" s="78">
        <v>99</v>
      </c>
      <c r="B156" s="66">
        <v>6</v>
      </c>
      <c r="C156" s="68" t="s">
        <v>692</v>
      </c>
      <c r="D156" s="67" t="s">
        <v>311</v>
      </c>
      <c r="E156" s="67" t="s">
        <v>172</v>
      </c>
      <c r="F156" s="67" t="s">
        <v>785</v>
      </c>
      <c r="G156" s="67" t="s">
        <v>174</v>
      </c>
      <c r="H156" s="67"/>
      <c r="I156" s="66"/>
      <c r="J156" s="66" t="s">
        <v>84</v>
      </c>
      <c r="K156" s="66" t="s">
        <v>769</v>
      </c>
      <c r="L156" s="66" t="s">
        <v>67</v>
      </c>
      <c r="M156" s="66" t="s">
        <v>310</v>
      </c>
      <c r="N156" s="79"/>
      <c r="O156" s="134">
        <v>1</v>
      </c>
      <c r="P156" s="134">
        <f>COUNTA(Tab_Power[[#This Row],[Investment]])</f>
        <v>0</v>
      </c>
      <c r="Q156" s="134">
        <f>COUNTA(Tab_Power[[#This Row],[Lead department]])</f>
        <v>0</v>
      </c>
      <c r="R156" s="133">
        <f>COUNTA(Tab_Power[[#This Row],[Spec targets / outcomes]])</f>
        <v>1</v>
      </c>
      <c r="S156" s="133">
        <f>COUNTA(Tab_Power[[#This Row],[Obligations]])</f>
        <v>1</v>
      </c>
      <c r="T156" s="134">
        <f t="shared" si="7"/>
        <v>0</v>
      </c>
      <c r="U156" s="134">
        <f t="shared" si="8"/>
        <v>1</v>
      </c>
      <c r="V156" s="209">
        <f>IF(Tab_Power[[#This Row],[Energy demand focus]]="Y",Tab_Power[[#This Row],[Category]],0)</f>
        <v>0</v>
      </c>
      <c r="W156" s="208">
        <f>IF(Tab_Power[[#This Row],[Energy demand focus]]="Y",Tab_Power[[#This Row],[Investment]],0)</f>
        <v>0</v>
      </c>
      <c r="X156" s="208">
        <f>IF(Tab_Power[[#This Row],[Energy demand focus]]="N",Tab_Power[[#This Row],[Investment]],0)</f>
        <v>0</v>
      </c>
    </row>
    <row r="157" spans="1:24" ht="60" x14ac:dyDescent="0.25">
      <c r="A157" s="78">
        <v>99</v>
      </c>
      <c r="B157" s="66">
        <v>7</v>
      </c>
      <c r="C157" s="68" t="s">
        <v>692</v>
      </c>
      <c r="D157" s="67" t="s">
        <v>323</v>
      </c>
      <c r="E157" s="67" t="s">
        <v>130</v>
      </c>
      <c r="F157" s="67" t="s">
        <v>799</v>
      </c>
      <c r="G157" s="67" t="s">
        <v>641</v>
      </c>
      <c r="H157" s="67"/>
      <c r="I157" s="66" t="s">
        <v>559</v>
      </c>
      <c r="J157" s="66" t="s">
        <v>84</v>
      </c>
      <c r="K157" s="66" t="s">
        <v>720</v>
      </c>
      <c r="L157" s="66" t="s">
        <v>192</v>
      </c>
      <c r="M157" s="66"/>
      <c r="N157" s="79" t="s">
        <v>829</v>
      </c>
      <c r="O157" s="134">
        <v>1</v>
      </c>
      <c r="P157" s="134">
        <f>COUNTA(Tab_Power[[#This Row],[Investment]])</f>
        <v>0</v>
      </c>
      <c r="Q157" s="134">
        <f>COUNTA(Tab_Power[[#This Row],[Lead department]])</f>
        <v>1</v>
      </c>
      <c r="R157" s="133">
        <f>COUNTA(Tab_Power[[#This Row],[Spec targets / outcomes]])</f>
        <v>1</v>
      </c>
      <c r="S157" s="133">
        <f>COUNTA(Tab_Power[[#This Row],[Obligations]])</f>
        <v>1</v>
      </c>
      <c r="T157" s="134">
        <f t="shared" si="7"/>
        <v>0</v>
      </c>
      <c r="U157" s="134">
        <f t="shared" si="8"/>
        <v>0</v>
      </c>
      <c r="V157" s="209">
        <f>IF(Tab_Power[[#This Row],[Energy demand focus]]="Y",Tab_Power[[#This Row],[Category]],0)</f>
        <v>0</v>
      </c>
      <c r="W157" s="208">
        <f>IF(Tab_Power[[#This Row],[Energy demand focus]]="Y",Tab_Power[[#This Row],[Investment]],0)</f>
        <v>0</v>
      </c>
      <c r="X157" s="208">
        <f>IF(Tab_Power[[#This Row],[Energy demand focus]]="N",Tab_Power[[#This Row],[Investment]],0)</f>
        <v>0</v>
      </c>
    </row>
    <row r="158" spans="1:24" ht="45" x14ac:dyDescent="0.25">
      <c r="A158" s="78">
        <v>100</v>
      </c>
      <c r="B158" s="66">
        <v>8</v>
      </c>
      <c r="C158" s="68" t="s">
        <v>692</v>
      </c>
      <c r="D158" s="67" t="s">
        <v>772</v>
      </c>
      <c r="E158" s="67" t="s">
        <v>313</v>
      </c>
      <c r="F158" s="67" t="s">
        <v>14</v>
      </c>
      <c r="G158" s="67" t="s">
        <v>514</v>
      </c>
      <c r="H158" s="67"/>
      <c r="I158" s="66" t="s">
        <v>638</v>
      </c>
      <c r="J158" s="66" t="s">
        <v>84</v>
      </c>
      <c r="K158" s="66" t="s">
        <v>770</v>
      </c>
      <c r="L158" s="66" t="s">
        <v>68</v>
      </c>
      <c r="M158" s="66"/>
      <c r="N158" s="79" t="s">
        <v>293</v>
      </c>
      <c r="O158" s="134">
        <v>1</v>
      </c>
      <c r="P158" s="134">
        <f>COUNTA(Tab_Power[[#This Row],[Investment]])</f>
        <v>0</v>
      </c>
      <c r="Q158" s="134">
        <f>COUNTA(Tab_Power[[#This Row],[Lead department]])</f>
        <v>1</v>
      </c>
      <c r="R158" s="133">
        <f>COUNTA(Tab_Power[[#This Row],[Spec targets / outcomes]])</f>
        <v>1</v>
      </c>
      <c r="S158" s="133">
        <f>COUNTA(Tab_Power[[#This Row],[Obligations]])</f>
        <v>1</v>
      </c>
      <c r="T158" s="134">
        <f t="shared" si="7"/>
        <v>0</v>
      </c>
      <c r="U158" s="134">
        <f t="shared" si="8"/>
        <v>0</v>
      </c>
      <c r="V158" s="209">
        <f>IF(Tab_Power[[#This Row],[Energy demand focus]]="Y",Tab_Power[[#This Row],[Category]],0)</f>
        <v>0</v>
      </c>
      <c r="W158" s="208">
        <f>IF(Tab_Power[[#This Row],[Energy demand focus]]="Y",Tab_Power[[#This Row],[Investment]],0)</f>
        <v>0</v>
      </c>
      <c r="X158" s="208">
        <f>IF(Tab_Power[[#This Row],[Energy demand focus]]="N",Tab_Power[[#This Row],[Investment]],0)</f>
        <v>0</v>
      </c>
    </row>
    <row r="159" spans="1:24" ht="45" x14ac:dyDescent="0.25">
      <c r="A159" s="78">
        <v>100</v>
      </c>
      <c r="B159" s="66">
        <v>9</v>
      </c>
      <c r="C159" s="68" t="s">
        <v>692</v>
      </c>
      <c r="D159" s="67" t="s">
        <v>314</v>
      </c>
      <c r="E159" s="67" t="s">
        <v>315</v>
      </c>
      <c r="F159" s="67" t="s">
        <v>785</v>
      </c>
      <c r="G159" s="67" t="s">
        <v>636</v>
      </c>
      <c r="H159" s="67"/>
      <c r="I159" s="66" t="s">
        <v>635</v>
      </c>
      <c r="J159" s="66" t="s">
        <v>771</v>
      </c>
      <c r="K159" s="66" t="s">
        <v>635</v>
      </c>
      <c r="L159" s="66" t="s">
        <v>68</v>
      </c>
      <c r="M159" s="66"/>
      <c r="N159" s="79" t="s">
        <v>304</v>
      </c>
      <c r="O159" s="134">
        <v>1</v>
      </c>
      <c r="P159" s="134">
        <f>COUNTA(Tab_Power[[#This Row],[Investment]])</f>
        <v>0</v>
      </c>
      <c r="Q159" s="134">
        <f>COUNTA(Tab_Power[[#This Row],[Lead department]])</f>
        <v>1</v>
      </c>
      <c r="R159" s="133">
        <f>COUNTA(Tab_Power[[#This Row],[Spec targets / outcomes]])</f>
        <v>1</v>
      </c>
      <c r="S159" s="133">
        <f>COUNTA(Tab_Power[[#This Row],[Obligations]])</f>
        <v>1</v>
      </c>
      <c r="T159" s="134">
        <f t="shared" si="7"/>
        <v>0</v>
      </c>
      <c r="U159" s="134">
        <f t="shared" si="8"/>
        <v>0</v>
      </c>
      <c r="V159" s="209">
        <f>IF(Tab_Power[[#This Row],[Energy demand focus]]="Y",Tab_Power[[#This Row],[Category]],0)</f>
        <v>0</v>
      </c>
      <c r="W159" s="208">
        <f>IF(Tab_Power[[#This Row],[Energy demand focus]]="Y",Tab_Power[[#This Row],[Investment]],0)</f>
        <v>0</v>
      </c>
      <c r="X159" s="208">
        <f>IF(Tab_Power[[#This Row],[Energy demand focus]]="N",Tab_Power[[#This Row],[Investment]],0)</f>
        <v>0</v>
      </c>
    </row>
    <row r="160" spans="1:24" ht="45" x14ac:dyDescent="0.25">
      <c r="A160" s="78">
        <v>100</v>
      </c>
      <c r="B160" s="66">
        <v>10</v>
      </c>
      <c r="C160" s="68" t="s">
        <v>692</v>
      </c>
      <c r="D160" s="67" t="s">
        <v>316</v>
      </c>
      <c r="E160" s="67" t="s">
        <v>14</v>
      </c>
      <c r="F160" s="67" t="s">
        <v>14</v>
      </c>
      <c r="G160" s="67" t="s">
        <v>317</v>
      </c>
      <c r="H160" s="67"/>
      <c r="I160" s="66"/>
      <c r="J160" s="66" t="s">
        <v>84</v>
      </c>
      <c r="K160" s="66"/>
      <c r="L160" s="66" t="s">
        <v>352</v>
      </c>
      <c r="M160" s="66"/>
      <c r="N160" s="79"/>
      <c r="O160" s="134">
        <v>1</v>
      </c>
      <c r="P160" s="134">
        <f>COUNTA(Tab_Power[[#This Row],[Investment]])</f>
        <v>0</v>
      </c>
      <c r="Q160" s="134">
        <f>COUNTA(Tab_Power[[#This Row],[Lead department]])</f>
        <v>0</v>
      </c>
      <c r="R160" s="133">
        <f>COUNTA(Tab_Power[[#This Row],[Spec targets / outcomes]])</f>
        <v>1</v>
      </c>
      <c r="S160" s="133">
        <f>COUNTA(Tab_Power[[#This Row],[Obligations]])</f>
        <v>0</v>
      </c>
      <c r="T160" s="134">
        <f t="shared" si="7"/>
        <v>0</v>
      </c>
      <c r="U160" s="134">
        <f t="shared" si="8"/>
        <v>0</v>
      </c>
      <c r="V160" s="209">
        <f>IF(Tab_Power[[#This Row],[Energy demand focus]]="Y",Tab_Power[[#This Row],[Category]],0)</f>
        <v>0</v>
      </c>
      <c r="W160" s="208">
        <f>IF(Tab_Power[[#This Row],[Energy demand focus]]="Y",Tab_Power[[#This Row],[Investment]],0)</f>
        <v>0</v>
      </c>
      <c r="X160" s="208">
        <f>IF(Tab_Power[[#This Row],[Energy demand focus]]="N",Tab_Power[[#This Row],[Investment]],0)</f>
        <v>0</v>
      </c>
    </row>
    <row r="161" spans="1:24" ht="30" x14ac:dyDescent="0.25">
      <c r="A161" s="78">
        <v>100</v>
      </c>
      <c r="B161" s="66">
        <v>11</v>
      </c>
      <c r="C161" s="68" t="s">
        <v>692</v>
      </c>
      <c r="D161" s="67" t="s">
        <v>318</v>
      </c>
      <c r="E161" s="67" t="s">
        <v>122</v>
      </c>
      <c r="F161" s="67" t="s">
        <v>1</v>
      </c>
      <c r="G161" s="67" t="s">
        <v>319</v>
      </c>
      <c r="H161" s="72" t="s">
        <v>320</v>
      </c>
      <c r="I161" s="66"/>
      <c r="J161" s="66"/>
      <c r="K161" s="66" t="s">
        <v>635</v>
      </c>
      <c r="L161" s="66" t="s">
        <v>351</v>
      </c>
      <c r="M161" s="66"/>
      <c r="N161" s="79"/>
      <c r="O161" s="134">
        <v>1</v>
      </c>
      <c r="P161" s="134">
        <f>COUNTA(Tab_Power[[#This Row],[Investment]])</f>
        <v>1</v>
      </c>
      <c r="Q161" s="134">
        <f>COUNTA(Tab_Power[[#This Row],[Lead department]])</f>
        <v>0</v>
      </c>
      <c r="R161" s="133">
        <f>COUNTA(Tab_Power[[#This Row],[Spec targets / outcomes]])</f>
        <v>0</v>
      </c>
      <c r="S161" s="133">
        <f>COUNTA(Tab_Power[[#This Row],[Obligations]])</f>
        <v>1</v>
      </c>
      <c r="T161" s="134">
        <f t="shared" si="7"/>
        <v>0</v>
      </c>
      <c r="U161" s="134">
        <f t="shared" si="8"/>
        <v>0</v>
      </c>
      <c r="V161" s="209">
        <f>IF(Tab_Power[[#This Row],[Energy demand focus]]="Y",Tab_Power[[#This Row],[Category]],0)</f>
        <v>0</v>
      </c>
      <c r="W161" s="208">
        <f>IF(Tab_Power[[#This Row],[Energy demand focus]]="Y",Tab_Power[[#This Row],[Investment]],0)</f>
        <v>0</v>
      </c>
      <c r="X161" s="208">
        <f>IF(Tab_Power[[#This Row],[Energy demand focus]]="N",Tab_Power[[#This Row],[Investment]],0)</f>
        <v>0</v>
      </c>
    </row>
    <row r="162" spans="1:24" ht="30" x14ac:dyDescent="0.25">
      <c r="A162" s="78">
        <v>100</v>
      </c>
      <c r="B162" s="66">
        <v>12</v>
      </c>
      <c r="C162" s="68" t="s">
        <v>692</v>
      </c>
      <c r="D162" s="67" t="s">
        <v>321</v>
      </c>
      <c r="E162" s="67" t="s">
        <v>322</v>
      </c>
      <c r="F162" s="67" t="s">
        <v>785</v>
      </c>
      <c r="G162" s="67"/>
      <c r="H162" s="67"/>
      <c r="I162" s="66"/>
      <c r="J162" s="66"/>
      <c r="K162" s="66"/>
      <c r="L162" s="66" t="s">
        <v>67</v>
      </c>
      <c r="M162" s="66"/>
      <c r="N162" s="79"/>
      <c r="O162" s="134">
        <v>0</v>
      </c>
      <c r="P162" s="134">
        <f>COUNTA(Tab_Power[[#This Row],[Investment]])</f>
        <v>0</v>
      </c>
      <c r="Q162" s="134">
        <f>COUNTA(Tab_Power[[#This Row],[Lead department]])</f>
        <v>0</v>
      </c>
      <c r="R162" s="133">
        <f>COUNTA(Tab_Power[[#This Row],[Spec targets / outcomes]])</f>
        <v>0</v>
      </c>
      <c r="S162" s="133">
        <f>COUNTA(Tab_Power[[#This Row],[Obligations]])</f>
        <v>0</v>
      </c>
      <c r="T162" s="134">
        <f t="shared" si="7"/>
        <v>0</v>
      </c>
      <c r="U162" s="134">
        <f t="shared" si="8"/>
        <v>1</v>
      </c>
      <c r="V162" s="209">
        <f>IF(Tab_Power[[#This Row],[Energy demand focus]]="Y",Tab_Power[[#This Row],[Category]],0)</f>
        <v>0</v>
      </c>
      <c r="W162" s="208">
        <f>IF(Tab_Power[[#This Row],[Energy demand focus]]="Y",Tab_Power[[#This Row],[Investment]],0)</f>
        <v>0</v>
      </c>
      <c r="X162" s="208">
        <f>IF(Tab_Power[[#This Row],[Energy demand focus]]="N",Tab_Power[[#This Row],[Investment]],0)</f>
        <v>0</v>
      </c>
    </row>
    <row r="163" spans="1:24" ht="30" x14ac:dyDescent="0.25">
      <c r="A163" s="78">
        <v>100</v>
      </c>
      <c r="B163" s="66">
        <v>13</v>
      </c>
      <c r="C163" s="68" t="s">
        <v>693</v>
      </c>
      <c r="D163" s="67" t="s">
        <v>326</v>
      </c>
      <c r="E163" s="67" t="s">
        <v>324</v>
      </c>
      <c r="F163" s="67" t="s">
        <v>19</v>
      </c>
      <c r="G163" s="67" t="s">
        <v>325</v>
      </c>
      <c r="H163" s="67"/>
      <c r="I163" s="66" t="s">
        <v>559</v>
      </c>
      <c r="J163" s="66"/>
      <c r="K163" s="66"/>
      <c r="L163" s="66" t="s">
        <v>14</v>
      </c>
      <c r="M163" s="66"/>
      <c r="N163" s="79" t="s">
        <v>293</v>
      </c>
      <c r="O163" s="134">
        <v>1</v>
      </c>
      <c r="P163" s="134">
        <f>COUNTA(Tab_Power[[#This Row],[Investment]])</f>
        <v>0</v>
      </c>
      <c r="Q163" s="134">
        <f>COUNTA(Tab_Power[[#This Row],[Lead department]])</f>
        <v>1</v>
      </c>
      <c r="R163" s="133">
        <f>COUNTA(Tab_Power[[#This Row],[Spec targets / outcomes]])</f>
        <v>0</v>
      </c>
      <c r="S163" s="133">
        <f>COUNTA(Tab_Power[[#This Row],[Obligations]])</f>
        <v>0</v>
      </c>
      <c r="T163" s="134">
        <f t="shared" si="7"/>
        <v>0</v>
      </c>
      <c r="U163" s="134">
        <f t="shared" si="8"/>
        <v>0</v>
      </c>
      <c r="V163" s="209">
        <f>IF(Tab_Power[[#This Row],[Energy demand focus]]="Y",Tab_Power[[#This Row],[Category]],0)</f>
        <v>0</v>
      </c>
      <c r="W163" s="208">
        <f>IF(Tab_Power[[#This Row],[Energy demand focus]]="Y",Tab_Power[[#This Row],[Investment]],0)</f>
        <v>0</v>
      </c>
      <c r="X163" s="208">
        <f>IF(Tab_Power[[#This Row],[Energy demand focus]]="N",Tab_Power[[#This Row],[Investment]],0)</f>
        <v>0</v>
      </c>
    </row>
    <row r="164" spans="1:24" ht="30" x14ac:dyDescent="0.25">
      <c r="A164" s="78">
        <v>100</v>
      </c>
      <c r="B164" s="66">
        <v>14</v>
      </c>
      <c r="C164" s="68" t="s">
        <v>693</v>
      </c>
      <c r="D164" s="67" t="s">
        <v>327</v>
      </c>
      <c r="E164" s="67" t="s">
        <v>328</v>
      </c>
      <c r="F164" s="67" t="s">
        <v>785</v>
      </c>
      <c r="G164" s="67" t="s">
        <v>329</v>
      </c>
      <c r="H164" s="67"/>
      <c r="I164" s="66"/>
      <c r="J164" s="66" t="s">
        <v>84</v>
      </c>
      <c r="K164" s="66" t="s">
        <v>635</v>
      </c>
      <c r="L164" s="66" t="s">
        <v>84</v>
      </c>
      <c r="M164" s="66"/>
      <c r="N164" s="79" t="s">
        <v>304</v>
      </c>
      <c r="O164" s="134">
        <v>1</v>
      </c>
      <c r="P164" s="134">
        <f>COUNTA(Tab_Power[[#This Row],[Investment]])</f>
        <v>0</v>
      </c>
      <c r="Q164" s="134">
        <f>COUNTA(Tab_Power[[#This Row],[Lead department]])</f>
        <v>0</v>
      </c>
      <c r="R164" s="133">
        <f>COUNTA(Tab_Power[[#This Row],[Spec targets / outcomes]])</f>
        <v>1</v>
      </c>
      <c r="S164" s="133">
        <f>COUNTA(Tab_Power[[#This Row],[Obligations]])</f>
        <v>1</v>
      </c>
      <c r="T164" s="134">
        <f t="shared" si="7"/>
        <v>1</v>
      </c>
      <c r="U164" s="134">
        <f t="shared" si="8"/>
        <v>0</v>
      </c>
      <c r="V164" s="209" t="str">
        <f>IF(Tab_Power[[#This Row],[Energy demand focus]]="Y",Tab_Power[[#This Row],[Category]],0)</f>
        <v>Regulatory</v>
      </c>
      <c r="W164" s="208">
        <f>IF(Tab_Power[[#This Row],[Energy demand focus]]="Y",Tab_Power[[#This Row],[Investment]],0)</f>
        <v>0</v>
      </c>
      <c r="X164" s="208">
        <f>IF(Tab_Power[[#This Row],[Energy demand focus]]="N",Tab_Power[[#This Row],[Investment]],0)</f>
        <v>0</v>
      </c>
    </row>
    <row r="165" spans="1:24" ht="30" x14ac:dyDescent="0.25">
      <c r="A165" s="78">
        <v>100</v>
      </c>
      <c r="B165" s="66">
        <v>15</v>
      </c>
      <c r="C165" s="68" t="s">
        <v>693</v>
      </c>
      <c r="D165" s="67" t="s">
        <v>634</v>
      </c>
      <c r="E165" s="67" t="s">
        <v>330</v>
      </c>
      <c r="F165" s="67" t="s">
        <v>512</v>
      </c>
      <c r="G165" s="67" t="s">
        <v>633</v>
      </c>
      <c r="H165" s="67"/>
      <c r="I165" s="66" t="s">
        <v>592</v>
      </c>
      <c r="J165" s="66" t="s">
        <v>718</v>
      </c>
      <c r="K165" s="66" t="s">
        <v>720</v>
      </c>
      <c r="L165" s="66" t="s">
        <v>84</v>
      </c>
      <c r="M165" s="66"/>
      <c r="N165" s="79" t="s">
        <v>304</v>
      </c>
      <c r="O165" s="134">
        <v>1</v>
      </c>
      <c r="P165" s="134">
        <f>COUNTA(Tab_Power[[#This Row],[Investment]])</f>
        <v>0</v>
      </c>
      <c r="Q165" s="134">
        <f>COUNTA(Tab_Power[[#This Row],[Lead department]])</f>
        <v>1</v>
      </c>
      <c r="R165" s="133">
        <f>COUNTA(Tab_Power[[#This Row],[Spec targets / outcomes]])</f>
        <v>1</v>
      </c>
      <c r="S165" s="133">
        <f>COUNTA(Tab_Power[[#This Row],[Obligations]])</f>
        <v>1</v>
      </c>
      <c r="T165" s="134">
        <f t="shared" si="7"/>
        <v>1</v>
      </c>
      <c r="U165" s="134">
        <f t="shared" si="8"/>
        <v>0</v>
      </c>
      <c r="V165" s="209" t="str">
        <f>IF(Tab_Power[[#This Row],[Energy demand focus]]="Y",Tab_Power[[#This Row],[Category]],0)</f>
        <v>Market</v>
      </c>
      <c r="W165" s="208">
        <f>IF(Tab_Power[[#This Row],[Energy demand focus]]="Y",Tab_Power[[#This Row],[Investment]],0)</f>
        <v>0</v>
      </c>
      <c r="X165" s="208">
        <f>IF(Tab_Power[[#This Row],[Energy demand focus]]="N",Tab_Power[[#This Row],[Investment]],0)</f>
        <v>0</v>
      </c>
    </row>
    <row r="166" spans="1:24" ht="45" x14ac:dyDescent="0.25">
      <c r="A166" s="78">
        <v>100</v>
      </c>
      <c r="B166" s="66">
        <v>16</v>
      </c>
      <c r="C166" s="68" t="s">
        <v>693</v>
      </c>
      <c r="D166" s="67" t="s">
        <v>331</v>
      </c>
      <c r="E166" s="67" t="s">
        <v>19</v>
      </c>
      <c r="F166" s="67" t="s">
        <v>19</v>
      </c>
      <c r="G166" s="67" t="s">
        <v>333</v>
      </c>
      <c r="H166" s="67" t="s">
        <v>332</v>
      </c>
      <c r="I166" s="66"/>
      <c r="J166" s="66"/>
      <c r="K166" s="66"/>
      <c r="L166" s="66" t="s">
        <v>84</v>
      </c>
      <c r="M166" s="66"/>
      <c r="N166" s="79" t="s">
        <v>304</v>
      </c>
      <c r="O166" s="134">
        <v>1</v>
      </c>
      <c r="P166" s="134">
        <f>COUNTA(Tab_Power[[#This Row],[Investment]])</f>
        <v>1</v>
      </c>
      <c r="Q166" s="134">
        <f>COUNTA(Tab_Power[[#This Row],[Lead department]])</f>
        <v>0</v>
      </c>
      <c r="R166" s="133">
        <f>COUNTA(Tab_Power[[#This Row],[Spec targets / outcomes]])</f>
        <v>0</v>
      </c>
      <c r="S166" s="133">
        <f>COUNTA(Tab_Power[[#This Row],[Obligations]])</f>
        <v>0</v>
      </c>
      <c r="T166" s="134">
        <f t="shared" si="7"/>
        <v>1</v>
      </c>
      <c r="U166" s="134">
        <f t="shared" si="8"/>
        <v>0</v>
      </c>
      <c r="V166" s="209" t="str">
        <f>IF(Tab_Power[[#This Row],[Energy demand focus]]="Y",Tab_Power[[#This Row],[Category]],0)</f>
        <v>Information</v>
      </c>
      <c r="W166" s="208" t="str">
        <f>IF(Tab_Power[[#This Row],[Energy demand focus]]="Y",Tab_Power[[#This Row],[Investment]],0)</f>
        <v>£5.4 million</v>
      </c>
      <c r="X166" s="208">
        <f>IF(Tab_Power[[#This Row],[Energy demand focus]]="N",Tab_Power[[#This Row],[Investment]],0)</f>
        <v>0</v>
      </c>
    </row>
    <row r="167" spans="1:24" x14ac:dyDescent="0.25">
      <c r="A167" s="78">
        <v>100</v>
      </c>
      <c r="B167" s="66"/>
      <c r="C167" s="112" t="s">
        <v>694</v>
      </c>
      <c r="D167" s="75" t="s">
        <v>334</v>
      </c>
      <c r="E167" s="67" t="s">
        <v>122</v>
      </c>
      <c r="F167" s="67" t="s">
        <v>1</v>
      </c>
      <c r="G167" s="67" t="s">
        <v>517</v>
      </c>
      <c r="H167" s="75" t="s">
        <v>336</v>
      </c>
      <c r="I167" s="66"/>
      <c r="J167" s="66"/>
      <c r="K167" s="66"/>
      <c r="L167" s="66" t="s">
        <v>335</v>
      </c>
      <c r="M167" s="66"/>
      <c r="N167" s="79"/>
      <c r="O167" s="134">
        <v>1</v>
      </c>
      <c r="P167" s="134">
        <f>COUNTA(Tab_Power[[#This Row],[Investment]])</f>
        <v>1</v>
      </c>
      <c r="Q167" s="134">
        <f>COUNTA(Tab_Power[[#This Row],[Lead department]])</f>
        <v>0</v>
      </c>
      <c r="R167" s="133">
        <f>COUNTA(Tab_Power[[#This Row],[Spec targets / outcomes]])</f>
        <v>0</v>
      </c>
      <c r="S167" s="133">
        <f>COUNTA(Tab_Power[[#This Row],[Obligations]])</f>
        <v>0</v>
      </c>
      <c r="T167" s="134">
        <f t="shared" si="7"/>
        <v>0</v>
      </c>
      <c r="U167" s="134">
        <f t="shared" si="8"/>
        <v>0</v>
      </c>
      <c r="V167" s="209">
        <f>IF(Tab_Power[[#This Row],[Energy demand focus]]="Y",Tab_Power[[#This Row],[Category]],0)</f>
        <v>0</v>
      </c>
      <c r="W167" s="208">
        <f>IF(Tab_Power[[#This Row],[Energy demand focus]]="Y",Tab_Power[[#This Row],[Investment]],0)</f>
        <v>0</v>
      </c>
      <c r="X167" s="208">
        <f>IF(Tab_Power[[#This Row],[Energy demand focus]]="N",Tab_Power[[#This Row],[Investment]],0)</f>
        <v>0</v>
      </c>
    </row>
    <row r="168" spans="1:24" ht="60" x14ac:dyDescent="0.25">
      <c r="A168" s="78">
        <v>101</v>
      </c>
      <c r="B168" s="66"/>
      <c r="C168" s="112" t="s">
        <v>694</v>
      </c>
      <c r="D168" s="67" t="s">
        <v>507</v>
      </c>
      <c r="E168" s="67" t="s">
        <v>122</v>
      </c>
      <c r="F168" s="67" t="s">
        <v>1</v>
      </c>
      <c r="G168" s="67"/>
      <c r="H168" s="72" t="s">
        <v>337</v>
      </c>
      <c r="I168" s="66"/>
      <c r="J168" s="66"/>
      <c r="K168" s="66"/>
      <c r="L168" s="66" t="s">
        <v>335</v>
      </c>
      <c r="M168" s="66"/>
      <c r="N168" s="79"/>
      <c r="O168" s="134">
        <v>0</v>
      </c>
      <c r="P168" s="134">
        <f>COUNTA(Tab_Power[[#This Row],[Investment]])</f>
        <v>1</v>
      </c>
      <c r="Q168" s="134">
        <f>COUNTA(Tab_Power[[#This Row],[Lead department]])</f>
        <v>0</v>
      </c>
      <c r="R168" s="133">
        <f>COUNTA(Tab_Power[[#This Row],[Spec targets / outcomes]])</f>
        <v>0</v>
      </c>
      <c r="S168" s="133">
        <f>COUNTA(Tab_Power[[#This Row],[Obligations]])</f>
        <v>0</v>
      </c>
      <c r="T168" s="134">
        <f t="shared" si="7"/>
        <v>0</v>
      </c>
      <c r="U168" s="134">
        <f t="shared" si="8"/>
        <v>0</v>
      </c>
      <c r="V168" s="209">
        <f>IF(Tab_Power[[#This Row],[Energy demand focus]]="Y",Tab_Power[[#This Row],[Category]],0)</f>
        <v>0</v>
      </c>
      <c r="W168" s="208">
        <f>IF(Tab_Power[[#This Row],[Energy demand focus]]="Y",Tab_Power[[#This Row],[Investment]],0)</f>
        <v>0</v>
      </c>
      <c r="X168" s="208">
        <f>IF(Tab_Power[[#This Row],[Energy demand focus]]="N",Tab_Power[[#This Row],[Investment]],0)</f>
        <v>0</v>
      </c>
    </row>
    <row r="169" spans="1:24" ht="45" x14ac:dyDescent="0.25">
      <c r="A169" s="78">
        <v>101</v>
      </c>
      <c r="B169" s="66"/>
      <c r="C169" s="112" t="s">
        <v>694</v>
      </c>
      <c r="D169" s="67" t="s">
        <v>338</v>
      </c>
      <c r="E169" s="67" t="s">
        <v>122</v>
      </c>
      <c r="F169" s="67" t="s">
        <v>1</v>
      </c>
      <c r="G169" s="67"/>
      <c r="H169" s="67" t="s">
        <v>339</v>
      </c>
      <c r="I169" s="66"/>
      <c r="J169" s="66"/>
      <c r="K169" s="66"/>
      <c r="L169" s="66" t="s">
        <v>67</v>
      </c>
      <c r="M169" s="66"/>
      <c r="N169" s="79"/>
      <c r="O169" s="134">
        <v>0</v>
      </c>
      <c r="P169" s="134">
        <f>COUNTA(Tab_Power[[#This Row],[Investment]])</f>
        <v>1</v>
      </c>
      <c r="Q169" s="134">
        <f>COUNTA(Tab_Power[[#This Row],[Lead department]])</f>
        <v>0</v>
      </c>
      <c r="R169" s="133">
        <f>COUNTA(Tab_Power[[#This Row],[Spec targets / outcomes]])</f>
        <v>0</v>
      </c>
      <c r="S169" s="133">
        <f>COUNTA(Tab_Power[[#This Row],[Obligations]])</f>
        <v>0</v>
      </c>
      <c r="T169" s="134">
        <f t="shared" si="7"/>
        <v>0</v>
      </c>
      <c r="U169" s="134">
        <f t="shared" si="8"/>
        <v>1</v>
      </c>
      <c r="V169" s="209">
        <f>IF(Tab_Power[[#This Row],[Energy demand focus]]="Y",Tab_Power[[#This Row],[Category]],0)</f>
        <v>0</v>
      </c>
      <c r="W169" s="208">
        <f>IF(Tab_Power[[#This Row],[Energy demand focus]]="Y",Tab_Power[[#This Row],[Investment]],0)</f>
        <v>0</v>
      </c>
      <c r="X169" s="208" t="str">
        <f>IF(Tab_Power[[#This Row],[Energy demand focus]]="N",Tab_Power[[#This Row],[Investment]],0)</f>
        <v>£460 million</v>
      </c>
    </row>
    <row r="170" spans="1:24" ht="45" x14ac:dyDescent="0.25">
      <c r="A170" s="78">
        <v>101</v>
      </c>
      <c r="B170" s="66"/>
      <c r="C170" s="112" t="s">
        <v>694</v>
      </c>
      <c r="D170" s="67" t="s">
        <v>508</v>
      </c>
      <c r="E170" s="67" t="s">
        <v>340</v>
      </c>
      <c r="F170" s="67" t="s">
        <v>388</v>
      </c>
      <c r="G170" s="67"/>
      <c r="H170" s="67"/>
      <c r="I170" s="66"/>
      <c r="J170" s="66"/>
      <c r="K170" s="66"/>
      <c r="L170" s="66" t="s">
        <v>67</v>
      </c>
      <c r="M170" s="66"/>
      <c r="N170" s="79"/>
      <c r="O170" s="134">
        <v>0</v>
      </c>
      <c r="P170" s="134">
        <f>COUNTA(Tab_Power[[#This Row],[Investment]])</f>
        <v>0</v>
      </c>
      <c r="Q170" s="134">
        <f>COUNTA(Tab_Power[[#This Row],[Lead department]])</f>
        <v>0</v>
      </c>
      <c r="R170" s="133">
        <f>COUNTA(Tab_Power[[#This Row],[Spec targets / outcomes]])</f>
        <v>0</v>
      </c>
      <c r="S170" s="133">
        <f>COUNTA(Tab_Power[[#This Row],[Obligations]])</f>
        <v>0</v>
      </c>
      <c r="T170" s="134">
        <f t="shared" si="7"/>
        <v>0</v>
      </c>
      <c r="U170" s="134">
        <f t="shared" si="8"/>
        <v>1</v>
      </c>
      <c r="V170" s="209">
        <f>IF(Tab_Power[[#This Row],[Energy demand focus]]="Y",Tab_Power[[#This Row],[Category]],0)</f>
        <v>0</v>
      </c>
      <c r="W170" s="208">
        <f>IF(Tab_Power[[#This Row],[Energy demand focus]]="Y",Tab_Power[[#This Row],[Investment]],0)</f>
        <v>0</v>
      </c>
      <c r="X170" s="208">
        <f>IF(Tab_Power[[#This Row],[Energy demand focus]]="N",Tab_Power[[#This Row],[Investment]],0)</f>
        <v>0</v>
      </c>
    </row>
    <row r="171" spans="1:24" ht="30" x14ac:dyDescent="0.25">
      <c r="A171" s="78">
        <v>101</v>
      </c>
      <c r="B171" s="66"/>
      <c r="C171" s="112" t="s">
        <v>694</v>
      </c>
      <c r="D171" s="67" t="s">
        <v>341</v>
      </c>
      <c r="E171" s="67" t="s">
        <v>122</v>
      </c>
      <c r="F171" s="67" t="s">
        <v>1</v>
      </c>
      <c r="G171" s="67"/>
      <c r="H171" s="67" t="s">
        <v>342</v>
      </c>
      <c r="I171" s="66"/>
      <c r="J171" s="66"/>
      <c r="K171" s="66"/>
      <c r="L171" s="66" t="s">
        <v>67</v>
      </c>
      <c r="M171" s="66"/>
      <c r="N171" s="79"/>
      <c r="O171" s="134">
        <v>0</v>
      </c>
      <c r="P171" s="134">
        <f>COUNTA(Tab_Power[[#This Row],[Investment]])</f>
        <v>1</v>
      </c>
      <c r="Q171" s="134">
        <f>COUNTA(Tab_Power[[#This Row],[Lead department]])</f>
        <v>0</v>
      </c>
      <c r="R171" s="133">
        <f>COUNTA(Tab_Power[[#This Row],[Spec targets / outcomes]])</f>
        <v>0</v>
      </c>
      <c r="S171" s="133">
        <f>COUNTA(Tab_Power[[#This Row],[Obligations]])</f>
        <v>0</v>
      </c>
      <c r="T171" s="134">
        <f t="shared" si="7"/>
        <v>0</v>
      </c>
      <c r="U171" s="134">
        <f t="shared" si="8"/>
        <v>1</v>
      </c>
      <c r="V171" s="209">
        <f>IF(Tab_Power[[#This Row],[Energy demand focus]]="Y",Tab_Power[[#This Row],[Category]],0)</f>
        <v>0</v>
      </c>
      <c r="W171" s="208">
        <f>IF(Tab_Power[[#This Row],[Energy demand focus]]="Y",Tab_Power[[#This Row],[Investment]],0)</f>
        <v>0</v>
      </c>
      <c r="X171" s="208" t="str">
        <f>IF(Tab_Power[[#This Row],[Energy demand focus]]="N",Tab_Power[[#This Row],[Investment]],0)</f>
        <v>£7 million</v>
      </c>
    </row>
    <row r="172" spans="1:24" ht="30" x14ac:dyDescent="0.25">
      <c r="A172" s="78">
        <v>101</v>
      </c>
      <c r="B172" s="66"/>
      <c r="C172" s="112" t="s">
        <v>694</v>
      </c>
      <c r="D172" s="67" t="s">
        <v>343</v>
      </c>
      <c r="E172" s="67" t="s">
        <v>241</v>
      </c>
      <c r="F172" s="67" t="s">
        <v>388</v>
      </c>
      <c r="G172" s="67" t="s">
        <v>509</v>
      </c>
      <c r="H172" s="67"/>
      <c r="I172" s="66"/>
      <c r="J172" s="66"/>
      <c r="K172" s="66"/>
      <c r="L172" s="66" t="s">
        <v>67</v>
      </c>
      <c r="M172" s="66"/>
      <c r="N172" s="79"/>
      <c r="O172" s="134">
        <v>1</v>
      </c>
      <c r="P172" s="134">
        <f>COUNTA(Tab_Power[[#This Row],[Investment]])</f>
        <v>0</v>
      </c>
      <c r="Q172" s="134">
        <f>COUNTA(Tab_Power[[#This Row],[Lead department]])</f>
        <v>0</v>
      </c>
      <c r="R172" s="133">
        <f>COUNTA(Tab_Power[[#This Row],[Spec targets / outcomes]])</f>
        <v>0</v>
      </c>
      <c r="S172" s="133">
        <f>COUNTA(Tab_Power[[#This Row],[Obligations]])</f>
        <v>0</v>
      </c>
      <c r="T172" s="134">
        <f t="shared" si="7"/>
        <v>0</v>
      </c>
      <c r="U172" s="134">
        <f t="shared" si="8"/>
        <v>1</v>
      </c>
      <c r="V172" s="209">
        <f>IF(Tab_Power[[#This Row],[Energy demand focus]]="Y",Tab_Power[[#This Row],[Category]],0)</f>
        <v>0</v>
      </c>
      <c r="W172" s="208">
        <f>IF(Tab_Power[[#This Row],[Energy demand focus]]="Y",Tab_Power[[#This Row],[Investment]],0)</f>
        <v>0</v>
      </c>
      <c r="X172" s="208">
        <f>IF(Tab_Power[[#This Row],[Energy demand focus]]="N",Tab_Power[[#This Row],[Investment]],0)</f>
        <v>0</v>
      </c>
    </row>
    <row r="173" spans="1:24" ht="90" x14ac:dyDescent="0.25">
      <c r="A173" s="78">
        <v>101</v>
      </c>
      <c r="B173" s="66"/>
      <c r="C173" s="112" t="s">
        <v>694</v>
      </c>
      <c r="D173" s="67" t="s">
        <v>522</v>
      </c>
      <c r="E173" s="67" t="s">
        <v>122</v>
      </c>
      <c r="F173" s="67" t="s">
        <v>1</v>
      </c>
      <c r="G173" s="67"/>
      <c r="H173" s="67" t="s">
        <v>344</v>
      </c>
      <c r="I173" s="66"/>
      <c r="J173" s="66" t="s">
        <v>845</v>
      </c>
      <c r="K173" s="66"/>
      <c r="L173" s="66" t="s">
        <v>67</v>
      </c>
      <c r="M173" s="66"/>
      <c r="N173" s="36" t="s">
        <v>846</v>
      </c>
      <c r="O173" s="134">
        <v>0</v>
      </c>
      <c r="P173" s="134">
        <f>COUNTA(Tab_Power[[#This Row],[Investment]])</f>
        <v>1</v>
      </c>
      <c r="Q173" s="134">
        <f>COUNTA(Tab_Power[[#This Row],[Lead department]])</f>
        <v>0</v>
      </c>
      <c r="R173" s="133">
        <f>COUNTA(Tab_Power[[#This Row],[Spec targets / outcomes]])</f>
        <v>1</v>
      </c>
      <c r="S173" s="133">
        <f>COUNTA(Tab_Power[[#This Row],[Obligations]])</f>
        <v>0</v>
      </c>
      <c r="T173" s="134">
        <f t="shared" si="7"/>
        <v>0</v>
      </c>
      <c r="U173" s="134">
        <f t="shared" si="8"/>
        <v>1</v>
      </c>
      <c r="V173" s="209">
        <f>IF(Tab_Power[[#This Row],[Energy demand focus]]="Y",Tab_Power[[#This Row],[Category]],0)</f>
        <v>0</v>
      </c>
      <c r="W173" s="208">
        <f>IF(Tab_Power[[#This Row],[Energy demand focus]]="Y",Tab_Power[[#This Row],[Investment]],0)</f>
        <v>0</v>
      </c>
      <c r="X173" s="208" t="str">
        <f>IF(Tab_Power[[#This Row],[Energy demand focus]]="N",Tab_Power[[#This Row],[Investment]],0)</f>
        <v>£177 million</v>
      </c>
    </row>
    <row r="174" spans="1:24" ht="30" x14ac:dyDescent="0.25">
      <c r="A174" s="78">
        <v>101</v>
      </c>
      <c r="B174" s="66"/>
      <c r="C174" s="112" t="s">
        <v>694</v>
      </c>
      <c r="D174" s="67" t="s">
        <v>345</v>
      </c>
      <c r="E174" s="67" t="s">
        <v>122</v>
      </c>
      <c r="F174" s="67" t="s">
        <v>1</v>
      </c>
      <c r="G174" s="67"/>
      <c r="H174" s="67" t="s">
        <v>346</v>
      </c>
      <c r="I174" s="66"/>
      <c r="J174" s="66"/>
      <c r="K174" s="66"/>
      <c r="L174" s="66" t="s">
        <v>67</v>
      </c>
      <c r="M174" s="66"/>
      <c r="N174" s="79"/>
      <c r="O174" s="134">
        <v>0</v>
      </c>
      <c r="P174" s="134">
        <f>COUNTA(Tab_Power[[#This Row],[Investment]])</f>
        <v>1</v>
      </c>
      <c r="Q174" s="134">
        <f>COUNTA(Tab_Power[[#This Row],[Lead department]])</f>
        <v>0</v>
      </c>
      <c r="R174" s="133">
        <f>COUNTA(Tab_Power[[#This Row],[Spec targets / outcomes]])</f>
        <v>0</v>
      </c>
      <c r="S174" s="133">
        <f>COUNTA(Tab_Power[[#This Row],[Obligations]])</f>
        <v>0</v>
      </c>
      <c r="T174" s="134">
        <f t="shared" si="7"/>
        <v>0</v>
      </c>
      <c r="U174" s="134">
        <f t="shared" si="8"/>
        <v>1</v>
      </c>
      <c r="V174" s="209">
        <f>IF(Tab_Power[[#This Row],[Energy demand focus]]="Y",Tab_Power[[#This Row],[Category]],0)</f>
        <v>0</v>
      </c>
      <c r="W174" s="208">
        <f>IF(Tab_Power[[#This Row],[Energy demand focus]]="Y",Tab_Power[[#This Row],[Investment]],0)</f>
        <v>0</v>
      </c>
      <c r="X174" s="208" t="str">
        <f>IF(Tab_Power[[#This Row],[Energy demand focus]]="N",Tab_Power[[#This Row],[Investment]],0)</f>
        <v>Part of above</v>
      </c>
    </row>
    <row r="175" spans="1:24" x14ac:dyDescent="0.25">
      <c r="A175" s="78">
        <v>101</v>
      </c>
      <c r="B175" s="66"/>
      <c r="C175" s="112" t="s">
        <v>694</v>
      </c>
      <c r="D175" s="67" t="s">
        <v>347</v>
      </c>
      <c r="E175" s="67" t="s">
        <v>130</v>
      </c>
      <c r="F175" s="67" t="s">
        <v>799</v>
      </c>
      <c r="G175" s="67"/>
      <c r="H175" s="67"/>
      <c r="I175" s="66"/>
      <c r="J175" s="66"/>
      <c r="K175" s="66"/>
      <c r="L175" s="66" t="s">
        <v>67</v>
      </c>
      <c r="M175" s="66"/>
      <c r="N175" s="79" t="s">
        <v>830</v>
      </c>
      <c r="O175" s="134">
        <v>0</v>
      </c>
      <c r="P175" s="134">
        <f>COUNTA(Tab_Power[[#This Row],[Investment]])</f>
        <v>0</v>
      </c>
      <c r="Q175" s="134">
        <f>COUNTA(Tab_Power[[#This Row],[Lead department]])</f>
        <v>0</v>
      </c>
      <c r="R175" s="133">
        <f>COUNTA(Tab_Power[[#This Row],[Spec targets / outcomes]])</f>
        <v>0</v>
      </c>
      <c r="S175" s="133">
        <f>COUNTA(Tab_Power[[#This Row],[Obligations]])</f>
        <v>0</v>
      </c>
      <c r="T175" s="134">
        <f t="shared" si="7"/>
        <v>0</v>
      </c>
      <c r="U175" s="134">
        <f t="shared" si="8"/>
        <v>1</v>
      </c>
      <c r="V175" s="209">
        <f>IF(Tab_Power[[#This Row],[Energy demand focus]]="Y",Tab_Power[[#This Row],[Category]],0)</f>
        <v>0</v>
      </c>
      <c r="W175" s="208">
        <f>IF(Tab_Power[[#This Row],[Energy demand focus]]="Y",Tab_Power[[#This Row],[Investment]],0)</f>
        <v>0</v>
      </c>
      <c r="X175" s="208">
        <f>IF(Tab_Power[[#This Row],[Energy demand focus]]="N",Tab_Power[[#This Row],[Investment]],0)</f>
        <v>0</v>
      </c>
    </row>
    <row r="176" spans="1:24" ht="45" x14ac:dyDescent="0.25">
      <c r="A176" s="80">
        <v>101</v>
      </c>
      <c r="B176" s="70"/>
      <c r="C176" s="112" t="s">
        <v>694</v>
      </c>
      <c r="D176" s="71" t="s">
        <v>348</v>
      </c>
      <c r="E176" s="71" t="s">
        <v>122</v>
      </c>
      <c r="F176" s="71" t="s">
        <v>1</v>
      </c>
      <c r="G176" s="71"/>
      <c r="H176" s="124" t="s">
        <v>350</v>
      </c>
      <c r="I176" s="70"/>
      <c r="J176" s="70"/>
      <c r="K176" s="70"/>
      <c r="L176" s="70" t="s">
        <v>349</v>
      </c>
      <c r="M176" s="70"/>
      <c r="N176" s="81"/>
      <c r="O176" s="135">
        <v>0</v>
      </c>
      <c r="P176" s="134">
        <f>COUNTA(Tab_Power[[#This Row],[Investment]])</f>
        <v>1</v>
      </c>
      <c r="Q176" s="134">
        <f>COUNTA(Tab_Power[[#This Row],[Lead department]])</f>
        <v>0</v>
      </c>
      <c r="R176" s="133">
        <f>COUNTA(Tab_Power[[#This Row],[Spec targets / outcomes]])</f>
        <v>0</v>
      </c>
      <c r="S176" s="133">
        <f>COUNTA(Tab_Power[[#This Row],[Obligations]])</f>
        <v>0</v>
      </c>
      <c r="T176" s="135">
        <f t="shared" si="7"/>
        <v>0</v>
      </c>
      <c r="U176" s="135">
        <f t="shared" si="8"/>
        <v>0</v>
      </c>
      <c r="V176" s="209">
        <f>IF(Tab_Power[[#This Row],[Energy demand focus]]="Y",Tab_Power[[#This Row],[Category]],0)</f>
        <v>0</v>
      </c>
      <c r="W176" s="210">
        <f>IF(Tab_Power[[#This Row],[Energy demand focus]]="Y",Tab_Power[[#This Row],[Investment]],0)</f>
        <v>0</v>
      </c>
      <c r="X176" s="210">
        <f>IF(Tab_Power[[#This Row],[Energy demand focus]]="N",Tab_Power[[#This Row],[Investment]],0)</f>
        <v>0</v>
      </c>
    </row>
    <row r="177" spans="1:25" x14ac:dyDescent="0.25">
      <c r="O177" s="315" t="s">
        <v>826</v>
      </c>
      <c r="P177" s="315"/>
      <c r="Q177" s="315"/>
      <c r="R177" s="315"/>
      <c r="S177" s="315"/>
      <c r="T177" s="315"/>
      <c r="U177" s="315"/>
      <c r="V177" s="315"/>
      <c r="W177" s="315" t="s">
        <v>825</v>
      </c>
      <c r="X177" s="315"/>
    </row>
    <row r="178" spans="1:25" x14ac:dyDescent="0.25">
      <c r="O178" s="171">
        <f>SUM(Tab_Power[Time])</f>
        <v>17</v>
      </c>
      <c r="P178" s="171">
        <f>SUM(Tab_Power[Inv])</f>
        <v>10</v>
      </c>
      <c r="Q178" s="171">
        <f>SUM(Tab_Power[Dep])</f>
        <v>9</v>
      </c>
      <c r="R178" s="171">
        <f>SUM(Tab_Power[Targ])</f>
        <v>11</v>
      </c>
      <c r="S178" s="171">
        <f>SUM(Tab_Power[Obl])</f>
        <v>8</v>
      </c>
      <c r="T178" s="171">
        <f>SUM(Tab_Power[Dem-yes])</f>
        <v>3</v>
      </c>
      <c r="U178" s="171">
        <f>SUM(Tab_Power[Dem-no])</f>
        <v>14</v>
      </c>
      <c r="W178" s="171"/>
      <c r="X178" s="171"/>
      <c r="Y178" s="171"/>
    </row>
    <row r="179" spans="1:25" x14ac:dyDescent="0.25">
      <c r="P179" s="105"/>
      <c r="Q179" s="105"/>
      <c r="R179" s="105"/>
      <c r="S179" s="21"/>
    </row>
    <row r="180" spans="1:25" ht="21" x14ac:dyDescent="0.35">
      <c r="A180" s="85" t="s">
        <v>359</v>
      </c>
      <c r="P180" s="105"/>
      <c r="Q180" s="105"/>
      <c r="R180" s="105"/>
      <c r="S180" s="21"/>
    </row>
    <row r="181" spans="1:25" ht="18.75" x14ac:dyDescent="0.3">
      <c r="A181" s="86" t="s">
        <v>753</v>
      </c>
      <c r="P181" s="105"/>
      <c r="Q181" s="105"/>
      <c r="R181" s="105"/>
      <c r="S181" s="21"/>
    </row>
    <row r="182" spans="1:25" x14ac:dyDescent="0.25">
      <c r="M182" s="103"/>
      <c r="P182" s="104"/>
      <c r="Q182" s="104"/>
      <c r="R182" s="104"/>
      <c r="S182" s="104"/>
      <c r="T182" s="96"/>
    </row>
    <row r="183" spans="1:25" ht="45" x14ac:dyDescent="0.25">
      <c r="A183" s="87" t="s">
        <v>2</v>
      </c>
      <c r="B183" s="87" t="s">
        <v>85</v>
      </c>
      <c r="C183" s="89" t="s">
        <v>681</v>
      </c>
      <c r="D183" s="88" t="s">
        <v>7</v>
      </c>
      <c r="E183" s="88" t="s">
        <v>8</v>
      </c>
      <c r="F183" s="88" t="s">
        <v>713</v>
      </c>
      <c r="G183" s="88" t="s">
        <v>4</v>
      </c>
      <c r="H183" s="88" t="s">
        <v>1</v>
      </c>
      <c r="I183" s="87" t="s">
        <v>558</v>
      </c>
      <c r="J183" s="87" t="s">
        <v>715</v>
      </c>
      <c r="K183" s="87" t="s">
        <v>709</v>
      </c>
      <c r="L183" s="87" t="s">
        <v>66</v>
      </c>
      <c r="M183" s="87" t="s">
        <v>157</v>
      </c>
      <c r="N183" s="89" t="s">
        <v>3</v>
      </c>
      <c r="O183" s="89" t="s">
        <v>704</v>
      </c>
      <c r="P183" s="89" t="s">
        <v>705</v>
      </c>
      <c r="Q183" s="89" t="s">
        <v>706</v>
      </c>
      <c r="R183" s="89" t="s">
        <v>710</v>
      </c>
      <c r="S183" s="89" t="s">
        <v>711</v>
      </c>
      <c r="T183" s="89" t="s">
        <v>707</v>
      </c>
      <c r="U183" s="89" t="s">
        <v>708</v>
      </c>
      <c r="V183" s="213" t="s">
        <v>797</v>
      </c>
      <c r="W183" s="213" t="s">
        <v>860</v>
      </c>
      <c r="X183" s="213" t="s">
        <v>861</v>
      </c>
    </row>
    <row r="184" spans="1:25" ht="60" x14ac:dyDescent="0.25">
      <c r="A184" s="78">
        <v>106</v>
      </c>
      <c r="B184" s="66">
        <v>1</v>
      </c>
      <c r="C184" s="68" t="s">
        <v>695</v>
      </c>
      <c r="D184" s="67" t="s">
        <v>360</v>
      </c>
      <c r="E184" s="67" t="s">
        <v>14</v>
      </c>
      <c r="F184" s="67" t="s">
        <v>14</v>
      </c>
      <c r="G184" s="67" t="s">
        <v>515</v>
      </c>
      <c r="H184" s="67"/>
      <c r="I184" s="66"/>
      <c r="J184" s="66" t="s">
        <v>855</v>
      </c>
      <c r="K184" s="66"/>
      <c r="L184" s="66" t="s">
        <v>14</v>
      </c>
      <c r="M184" s="66"/>
      <c r="N184" s="79" t="s">
        <v>852</v>
      </c>
      <c r="O184" s="133">
        <v>1</v>
      </c>
      <c r="P184" s="134">
        <f>COUNTA(Tab_NatRes[[#This Row],[Investment]])</f>
        <v>0</v>
      </c>
      <c r="Q184" s="134">
        <f>COUNTA(Tab_NatRes[[#This Row],[Lead department]])</f>
        <v>0</v>
      </c>
      <c r="R184" s="134">
        <f>COUNTA(Tab_NatRes[[#This Row],[Spec targets / outcomes]])</f>
        <v>1</v>
      </c>
      <c r="S184" s="134">
        <f>COUNTA(Tab_NatRes[[#This Row],[Obligations]])</f>
        <v>0</v>
      </c>
      <c r="T184" s="133">
        <f t="shared" ref="T184:T229" si="9">COUNTIF(L184,"=Y")</f>
        <v>0</v>
      </c>
      <c r="U184" s="133">
        <f t="shared" ref="U184:U229" si="10">COUNTIF(L184,"=N")</f>
        <v>0</v>
      </c>
      <c r="V184" s="209">
        <f>IF(Tab_NatRes[[#This Row],[Energy demand focus]]="Y",Tab_NatRes[[#This Row],[Category]],0)</f>
        <v>0</v>
      </c>
      <c r="W184" s="209">
        <f>IF(Tab_NatRes[[#This Row],[Energy demand focus]]="Y",Tab_NatRes[[#This Row],[Investment]],0)</f>
        <v>0</v>
      </c>
      <c r="X184" s="209">
        <f>IF(Tab_NatRes[[#This Row],[Energy demand focus]]="N",Tab_NatRes[[#This Row],[Investment]],0)</f>
        <v>0</v>
      </c>
    </row>
    <row r="185" spans="1:25" ht="30" x14ac:dyDescent="0.25">
      <c r="A185" s="78">
        <v>106</v>
      </c>
      <c r="B185" s="66">
        <v>2</v>
      </c>
      <c r="C185" s="68" t="s">
        <v>695</v>
      </c>
      <c r="D185" s="67" t="s">
        <v>361</v>
      </c>
      <c r="E185" s="67" t="s">
        <v>14</v>
      </c>
      <c r="F185" s="67" t="s">
        <v>388</v>
      </c>
      <c r="G185" s="67"/>
      <c r="H185" s="67"/>
      <c r="I185" s="66"/>
      <c r="J185" s="66" t="s">
        <v>718</v>
      </c>
      <c r="K185" s="66" t="s">
        <v>720</v>
      </c>
      <c r="L185" s="66" t="s">
        <v>68</v>
      </c>
      <c r="M185" s="66"/>
      <c r="N185" s="79" t="s">
        <v>86</v>
      </c>
      <c r="O185" s="134">
        <v>0</v>
      </c>
      <c r="P185" s="134">
        <f>COUNTA(Tab_NatRes[[#This Row],[Investment]])</f>
        <v>0</v>
      </c>
      <c r="Q185" s="134">
        <f>COUNTA(Tab_NatRes[[#This Row],[Lead department]])</f>
        <v>0</v>
      </c>
      <c r="R185" s="134">
        <f>COUNTA(Tab_NatRes[[#This Row],[Spec targets / outcomes]])</f>
        <v>1</v>
      </c>
      <c r="S185" s="134">
        <f>COUNTA(Tab_NatRes[[#This Row],[Obligations]])</f>
        <v>1</v>
      </c>
      <c r="T185" s="134">
        <f t="shared" si="9"/>
        <v>0</v>
      </c>
      <c r="U185" s="134">
        <f t="shared" si="10"/>
        <v>0</v>
      </c>
      <c r="V185" s="209">
        <f>IF(Tab_NatRes[[#This Row],[Energy demand focus]]="Y",Tab_NatRes[[#This Row],[Category]],0)</f>
        <v>0</v>
      </c>
      <c r="W185" s="208">
        <f>IF(Tab_NatRes[[#This Row],[Energy demand focus]]="Y",Tab_NatRes[[#This Row],[Investment]],0)</f>
        <v>0</v>
      </c>
      <c r="X185" s="208">
        <f>IF(Tab_NatRes[[#This Row],[Energy demand focus]]="N",Tab_NatRes[[#This Row],[Investment]],0)</f>
        <v>0</v>
      </c>
    </row>
    <row r="186" spans="1:25" ht="30" x14ac:dyDescent="0.25">
      <c r="A186" s="78">
        <v>106</v>
      </c>
      <c r="B186" s="66" t="s">
        <v>88</v>
      </c>
      <c r="C186" s="68" t="s">
        <v>695</v>
      </c>
      <c r="D186" s="67" t="s">
        <v>362</v>
      </c>
      <c r="E186" s="67" t="s">
        <v>14</v>
      </c>
      <c r="F186" s="67" t="s">
        <v>388</v>
      </c>
      <c r="G186" s="67"/>
      <c r="H186" s="67"/>
      <c r="I186" s="66" t="s">
        <v>608</v>
      </c>
      <c r="J186" s="66"/>
      <c r="K186" s="66" t="s">
        <v>720</v>
      </c>
      <c r="L186" s="66" t="s">
        <v>68</v>
      </c>
      <c r="M186" s="66"/>
      <c r="N186" s="79"/>
      <c r="O186" s="134">
        <v>0</v>
      </c>
      <c r="P186" s="134">
        <f>COUNTA(Tab_NatRes[[#This Row],[Investment]])</f>
        <v>0</v>
      </c>
      <c r="Q186" s="134">
        <f>COUNTA(Tab_NatRes[[#This Row],[Lead department]])</f>
        <v>1</v>
      </c>
      <c r="R186" s="134">
        <f>COUNTA(Tab_NatRes[[#This Row],[Spec targets / outcomes]])</f>
        <v>0</v>
      </c>
      <c r="S186" s="134">
        <f>COUNTA(Tab_NatRes[[#This Row],[Obligations]])</f>
        <v>1</v>
      </c>
      <c r="T186" s="134">
        <f t="shared" si="9"/>
        <v>0</v>
      </c>
      <c r="U186" s="134">
        <f t="shared" si="10"/>
        <v>0</v>
      </c>
      <c r="V186" s="209">
        <f>IF(Tab_NatRes[[#This Row],[Energy demand focus]]="Y",Tab_NatRes[[#This Row],[Category]],0)</f>
        <v>0</v>
      </c>
      <c r="W186" s="208">
        <f>IF(Tab_NatRes[[#This Row],[Energy demand focus]]="Y",Tab_NatRes[[#This Row],[Investment]],0)</f>
        <v>0</v>
      </c>
      <c r="X186" s="208">
        <f>IF(Tab_NatRes[[#This Row],[Energy demand focus]]="N",Tab_NatRes[[#This Row],[Investment]],0)</f>
        <v>0</v>
      </c>
    </row>
    <row r="187" spans="1:25" ht="30" x14ac:dyDescent="0.25">
      <c r="A187" s="78">
        <v>106</v>
      </c>
      <c r="B187" s="66" t="s">
        <v>90</v>
      </c>
      <c r="C187" s="68" t="s">
        <v>695</v>
      </c>
      <c r="D187" s="67" t="s">
        <v>363</v>
      </c>
      <c r="E187" s="67" t="s">
        <v>19</v>
      </c>
      <c r="F187" s="67" t="s">
        <v>19</v>
      </c>
      <c r="G187" s="67" t="s">
        <v>364</v>
      </c>
      <c r="H187" s="67"/>
      <c r="I187" s="66" t="s">
        <v>608</v>
      </c>
      <c r="J187" s="66"/>
      <c r="K187" s="66"/>
      <c r="L187" s="66" t="s">
        <v>68</v>
      </c>
      <c r="M187" s="66"/>
      <c r="N187" s="79"/>
      <c r="O187" s="134">
        <v>1</v>
      </c>
      <c r="P187" s="134">
        <f>COUNTA(Tab_NatRes[[#This Row],[Investment]])</f>
        <v>0</v>
      </c>
      <c r="Q187" s="134">
        <f>COUNTA(Tab_NatRes[[#This Row],[Lead department]])</f>
        <v>1</v>
      </c>
      <c r="R187" s="134">
        <f>COUNTA(Tab_NatRes[[#This Row],[Spec targets / outcomes]])</f>
        <v>0</v>
      </c>
      <c r="S187" s="134">
        <f>COUNTA(Tab_NatRes[[#This Row],[Obligations]])</f>
        <v>0</v>
      </c>
      <c r="T187" s="134">
        <f t="shared" si="9"/>
        <v>0</v>
      </c>
      <c r="U187" s="134">
        <f t="shared" si="10"/>
        <v>0</v>
      </c>
      <c r="V187" s="209">
        <f>IF(Tab_NatRes[[#This Row],[Energy demand focus]]="Y",Tab_NatRes[[#This Row],[Category]],0)</f>
        <v>0</v>
      </c>
      <c r="W187" s="208">
        <f>IF(Tab_NatRes[[#This Row],[Energy demand focus]]="Y",Tab_NatRes[[#This Row],[Investment]],0)</f>
        <v>0</v>
      </c>
      <c r="X187" s="208">
        <f>IF(Tab_NatRes[[#This Row],[Energy demand focus]]="N",Tab_NatRes[[#This Row],[Investment]],0)</f>
        <v>0</v>
      </c>
    </row>
    <row r="188" spans="1:25" ht="60" x14ac:dyDescent="0.25">
      <c r="A188" s="78">
        <v>106</v>
      </c>
      <c r="B188" s="66">
        <v>4</v>
      </c>
      <c r="C188" s="68" t="s">
        <v>695</v>
      </c>
      <c r="D188" s="67" t="s">
        <v>365</v>
      </c>
      <c r="E188" s="67" t="s">
        <v>516</v>
      </c>
      <c r="F188" s="67" t="s">
        <v>388</v>
      </c>
      <c r="G188" s="67" t="s">
        <v>642</v>
      </c>
      <c r="H188" s="67"/>
      <c r="I188" s="66" t="s">
        <v>559</v>
      </c>
      <c r="J188" s="66"/>
      <c r="K188" s="66"/>
      <c r="L188" s="66" t="s">
        <v>67</v>
      </c>
      <c r="M188" s="66"/>
      <c r="N188" s="79"/>
      <c r="O188" s="134">
        <v>1</v>
      </c>
      <c r="P188" s="134">
        <f>COUNTA(Tab_NatRes[[#This Row],[Investment]])</f>
        <v>0</v>
      </c>
      <c r="Q188" s="134">
        <f>COUNTA(Tab_NatRes[[#This Row],[Lead department]])</f>
        <v>1</v>
      </c>
      <c r="R188" s="134">
        <f>COUNTA(Tab_NatRes[[#This Row],[Spec targets / outcomes]])</f>
        <v>0</v>
      </c>
      <c r="S188" s="134">
        <f>COUNTA(Tab_NatRes[[#This Row],[Obligations]])</f>
        <v>0</v>
      </c>
      <c r="T188" s="134">
        <f t="shared" si="9"/>
        <v>0</v>
      </c>
      <c r="U188" s="134">
        <f t="shared" si="10"/>
        <v>1</v>
      </c>
      <c r="V188" s="209">
        <f>IF(Tab_NatRes[[#This Row],[Energy demand focus]]="Y",Tab_NatRes[[#This Row],[Category]],0)</f>
        <v>0</v>
      </c>
      <c r="W188" s="208">
        <f>IF(Tab_NatRes[[#This Row],[Energy demand focus]]="Y",Tab_NatRes[[#This Row],[Investment]],0)</f>
        <v>0</v>
      </c>
      <c r="X188" s="208">
        <f>IF(Tab_NatRes[[#This Row],[Energy demand focus]]="N",Tab_NatRes[[#This Row],[Investment]],0)</f>
        <v>0</v>
      </c>
    </row>
    <row r="189" spans="1:25" ht="60" x14ac:dyDescent="0.25">
      <c r="A189" s="78">
        <v>106</v>
      </c>
      <c r="B189" s="66">
        <v>5</v>
      </c>
      <c r="C189" s="68" t="s">
        <v>695</v>
      </c>
      <c r="D189" s="67" t="s">
        <v>529</v>
      </c>
      <c r="E189" s="67" t="s">
        <v>366</v>
      </c>
      <c r="F189" s="67" t="s">
        <v>784</v>
      </c>
      <c r="G189" s="67" t="s">
        <v>528</v>
      </c>
      <c r="H189" s="67"/>
      <c r="I189" s="66" t="s">
        <v>608</v>
      </c>
      <c r="J189" s="66" t="s">
        <v>718</v>
      </c>
      <c r="K189" s="66"/>
      <c r="L189" s="66" t="s">
        <v>67</v>
      </c>
      <c r="M189" s="66"/>
      <c r="N189" s="79"/>
      <c r="O189" s="134">
        <v>1</v>
      </c>
      <c r="P189" s="134">
        <f>COUNTA(Tab_NatRes[[#This Row],[Investment]])</f>
        <v>0</v>
      </c>
      <c r="Q189" s="134">
        <f>COUNTA(Tab_NatRes[[#This Row],[Lead department]])</f>
        <v>1</v>
      </c>
      <c r="R189" s="134">
        <f>COUNTA(Tab_NatRes[[#This Row],[Spec targets / outcomes]])</f>
        <v>1</v>
      </c>
      <c r="S189" s="134">
        <f>COUNTA(Tab_NatRes[[#This Row],[Obligations]])</f>
        <v>0</v>
      </c>
      <c r="T189" s="134">
        <f t="shared" si="9"/>
        <v>0</v>
      </c>
      <c r="U189" s="134">
        <f t="shared" si="10"/>
        <v>1</v>
      </c>
      <c r="V189" s="209">
        <f>IF(Tab_NatRes[[#This Row],[Energy demand focus]]="Y",Tab_NatRes[[#This Row],[Category]],0)</f>
        <v>0</v>
      </c>
      <c r="W189" s="208">
        <f>IF(Tab_NatRes[[#This Row],[Energy demand focus]]="Y",Tab_NatRes[[#This Row],[Investment]],0)</f>
        <v>0</v>
      </c>
      <c r="X189" s="208">
        <f>IF(Tab_NatRes[[#This Row],[Energy demand focus]]="N",Tab_NatRes[[#This Row],[Investment]],0)</f>
        <v>0</v>
      </c>
    </row>
    <row r="190" spans="1:25" ht="45" x14ac:dyDescent="0.25">
      <c r="A190" s="78">
        <v>106</v>
      </c>
      <c r="B190" s="66">
        <v>6</v>
      </c>
      <c r="C190" s="68" t="s">
        <v>695</v>
      </c>
      <c r="D190" s="67" t="s">
        <v>367</v>
      </c>
      <c r="E190" s="67" t="s">
        <v>122</v>
      </c>
      <c r="F190" s="67" t="s">
        <v>1</v>
      </c>
      <c r="G190" s="67" t="s">
        <v>533</v>
      </c>
      <c r="H190" s="67"/>
      <c r="I190" s="66"/>
      <c r="J190" s="66"/>
      <c r="K190" s="66"/>
      <c r="L190" s="66" t="s">
        <v>67</v>
      </c>
      <c r="M190" s="66"/>
      <c r="N190" s="79"/>
      <c r="O190" s="134">
        <v>1</v>
      </c>
      <c r="P190" s="134">
        <f>COUNTA(Tab_NatRes[[#This Row],[Investment]])</f>
        <v>0</v>
      </c>
      <c r="Q190" s="134">
        <f>COUNTA(Tab_NatRes[[#This Row],[Lead department]])</f>
        <v>0</v>
      </c>
      <c r="R190" s="134">
        <f>COUNTA(Tab_NatRes[[#This Row],[Spec targets / outcomes]])</f>
        <v>0</v>
      </c>
      <c r="S190" s="134">
        <f>COUNTA(Tab_NatRes[[#This Row],[Obligations]])</f>
        <v>0</v>
      </c>
      <c r="T190" s="134">
        <f t="shared" si="9"/>
        <v>0</v>
      </c>
      <c r="U190" s="134">
        <f t="shared" si="10"/>
        <v>1</v>
      </c>
      <c r="V190" s="209">
        <f>IF(Tab_NatRes[[#This Row],[Energy demand focus]]="Y",Tab_NatRes[[#This Row],[Category]],0)</f>
        <v>0</v>
      </c>
      <c r="W190" s="208">
        <f>IF(Tab_NatRes[[#This Row],[Energy demand focus]]="Y",Tab_NatRes[[#This Row],[Investment]],0)</f>
        <v>0</v>
      </c>
      <c r="X190" s="208">
        <f>IF(Tab_NatRes[[#This Row],[Energy demand focus]]="N",Tab_NatRes[[#This Row],[Investment]],0)</f>
        <v>0</v>
      </c>
    </row>
    <row r="191" spans="1:25" ht="45" x14ac:dyDescent="0.25">
      <c r="A191" s="78">
        <v>107</v>
      </c>
      <c r="B191" s="66">
        <v>7</v>
      </c>
      <c r="C191" s="68" t="s">
        <v>696</v>
      </c>
      <c r="D191" s="67" t="s">
        <v>368</v>
      </c>
      <c r="E191" s="67" t="s">
        <v>130</v>
      </c>
      <c r="F191" s="67" t="s">
        <v>130</v>
      </c>
      <c r="G191" s="67"/>
      <c r="H191" s="67"/>
      <c r="I191" s="66"/>
      <c r="J191" s="66" t="s">
        <v>774</v>
      </c>
      <c r="K191" s="66"/>
      <c r="L191" s="66" t="s">
        <v>67</v>
      </c>
      <c r="M191" s="66"/>
      <c r="N191" s="79" t="s">
        <v>87</v>
      </c>
      <c r="O191" s="134">
        <v>0</v>
      </c>
      <c r="P191" s="134">
        <f>COUNTA(Tab_NatRes[[#This Row],[Investment]])</f>
        <v>0</v>
      </c>
      <c r="Q191" s="134">
        <f>COUNTA(Tab_NatRes[[#This Row],[Lead department]])</f>
        <v>0</v>
      </c>
      <c r="R191" s="134">
        <f>COUNTA(Tab_NatRes[[#This Row],[Spec targets / outcomes]])</f>
        <v>1</v>
      </c>
      <c r="S191" s="134">
        <f>COUNTA(Tab_NatRes[[#This Row],[Obligations]])</f>
        <v>0</v>
      </c>
      <c r="T191" s="134">
        <f t="shared" si="9"/>
        <v>0</v>
      </c>
      <c r="U191" s="134">
        <f t="shared" si="10"/>
        <v>1</v>
      </c>
      <c r="V191" s="209">
        <f>IF(Tab_NatRes[[#This Row],[Energy demand focus]]="Y",Tab_NatRes[[#This Row],[Category]],0)</f>
        <v>0</v>
      </c>
      <c r="W191" s="208">
        <f>IF(Tab_NatRes[[#This Row],[Energy demand focus]]="Y",Tab_NatRes[[#This Row],[Investment]],0)</f>
        <v>0</v>
      </c>
      <c r="X191" s="208">
        <f>IF(Tab_NatRes[[#This Row],[Energy demand focus]]="N",Tab_NatRes[[#This Row],[Investment]],0)</f>
        <v>0</v>
      </c>
    </row>
    <row r="192" spans="1:25" ht="60" x14ac:dyDescent="0.25">
      <c r="A192" s="78">
        <v>107</v>
      </c>
      <c r="B192" s="66" t="s">
        <v>369</v>
      </c>
      <c r="C192" s="68" t="s">
        <v>696</v>
      </c>
      <c r="D192" s="67" t="s">
        <v>371</v>
      </c>
      <c r="E192" s="67" t="s">
        <v>372</v>
      </c>
      <c r="F192" s="67" t="s">
        <v>784</v>
      </c>
      <c r="G192" s="67"/>
      <c r="H192" s="67"/>
      <c r="I192" s="66"/>
      <c r="J192" s="66" t="s">
        <v>851</v>
      </c>
      <c r="K192" s="66"/>
      <c r="L192" s="66" t="s">
        <v>67</v>
      </c>
      <c r="M192" s="66" t="s">
        <v>646</v>
      </c>
      <c r="N192" s="79" t="s">
        <v>852</v>
      </c>
      <c r="O192" s="134">
        <v>0</v>
      </c>
      <c r="P192" s="134">
        <f>COUNTA(Tab_NatRes[[#This Row],[Investment]])</f>
        <v>0</v>
      </c>
      <c r="Q192" s="134">
        <f>COUNTA(Tab_NatRes[[#This Row],[Lead department]])</f>
        <v>0</v>
      </c>
      <c r="R192" s="134">
        <f>COUNTA(Tab_NatRes[[#This Row],[Spec targets / outcomes]])</f>
        <v>1</v>
      </c>
      <c r="S192" s="134">
        <f>COUNTA(Tab_NatRes[[#This Row],[Obligations]])</f>
        <v>0</v>
      </c>
      <c r="T192" s="134">
        <f t="shared" si="9"/>
        <v>0</v>
      </c>
      <c r="U192" s="134">
        <f t="shared" si="10"/>
        <v>1</v>
      </c>
      <c r="V192" s="209">
        <f>IF(Tab_NatRes[[#This Row],[Energy demand focus]]="Y",Tab_NatRes[[#This Row],[Category]],0)</f>
        <v>0</v>
      </c>
      <c r="W192" s="208">
        <f>IF(Tab_NatRes[[#This Row],[Energy demand focus]]="Y",Tab_NatRes[[#This Row],[Investment]],0)</f>
        <v>0</v>
      </c>
      <c r="X192" s="208">
        <f>IF(Tab_NatRes[[#This Row],[Energy demand focus]]="N",Tab_NatRes[[#This Row],[Investment]],0)</f>
        <v>0</v>
      </c>
    </row>
    <row r="193" spans="1:24" ht="30" x14ac:dyDescent="0.25">
      <c r="A193" s="78">
        <v>107</v>
      </c>
      <c r="B193" s="66" t="s">
        <v>370</v>
      </c>
      <c r="C193" s="68" t="s">
        <v>696</v>
      </c>
      <c r="D193" s="67" t="s">
        <v>373</v>
      </c>
      <c r="E193" s="67" t="s">
        <v>122</v>
      </c>
      <c r="F193" s="67" t="s">
        <v>1</v>
      </c>
      <c r="G193" s="67" t="s">
        <v>534</v>
      </c>
      <c r="H193" s="67"/>
      <c r="I193" s="66" t="s">
        <v>608</v>
      </c>
      <c r="J193" s="66" t="s">
        <v>84</v>
      </c>
      <c r="K193" s="66"/>
      <c r="L193" s="66" t="s">
        <v>67</v>
      </c>
      <c r="M193" s="66" t="s">
        <v>646</v>
      </c>
      <c r="N193" s="79"/>
      <c r="O193" s="134">
        <v>1</v>
      </c>
      <c r="P193" s="134">
        <f>COUNTA(Tab_NatRes[[#This Row],[Investment]])</f>
        <v>0</v>
      </c>
      <c r="Q193" s="134">
        <f>COUNTA(Tab_NatRes[[#This Row],[Lead department]])</f>
        <v>1</v>
      </c>
      <c r="R193" s="134">
        <f>COUNTA(Tab_NatRes[[#This Row],[Spec targets / outcomes]])</f>
        <v>1</v>
      </c>
      <c r="S193" s="134">
        <f>COUNTA(Tab_NatRes[[#This Row],[Obligations]])</f>
        <v>0</v>
      </c>
      <c r="T193" s="134">
        <f t="shared" si="9"/>
        <v>0</v>
      </c>
      <c r="U193" s="134">
        <f t="shared" si="10"/>
        <v>1</v>
      </c>
      <c r="V193" s="209">
        <f>IF(Tab_NatRes[[#This Row],[Energy demand focus]]="Y",Tab_NatRes[[#This Row],[Category]],0)</f>
        <v>0</v>
      </c>
      <c r="W193" s="208">
        <f>IF(Tab_NatRes[[#This Row],[Energy demand focus]]="Y",Tab_NatRes[[#This Row],[Investment]],0)</f>
        <v>0</v>
      </c>
      <c r="X193" s="208">
        <f>IF(Tab_NatRes[[#This Row],[Energy demand focus]]="N",Tab_NatRes[[#This Row],[Investment]],0)</f>
        <v>0</v>
      </c>
    </row>
    <row r="194" spans="1:24" ht="45" x14ac:dyDescent="0.25">
      <c r="A194" s="78">
        <v>107</v>
      </c>
      <c r="B194" s="66">
        <v>9</v>
      </c>
      <c r="C194" s="68" t="s">
        <v>696</v>
      </c>
      <c r="D194" s="67" t="s">
        <v>374</v>
      </c>
      <c r="E194" s="67" t="s">
        <v>375</v>
      </c>
      <c r="F194" s="67" t="s">
        <v>512</v>
      </c>
      <c r="G194" s="67" t="s">
        <v>645</v>
      </c>
      <c r="H194" s="67"/>
      <c r="I194" s="66" t="s">
        <v>643</v>
      </c>
      <c r="J194" s="66" t="s">
        <v>718</v>
      </c>
      <c r="K194" s="66" t="s">
        <v>720</v>
      </c>
      <c r="L194" s="66" t="s">
        <v>67</v>
      </c>
      <c r="M194" s="66" t="s">
        <v>853</v>
      </c>
      <c r="N194" s="79" t="s">
        <v>644</v>
      </c>
      <c r="O194" s="134">
        <v>1</v>
      </c>
      <c r="P194" s="134">
        <f>COUNTA(Tab_NatRes[[#This Row],[Investment]])</f>
        <v>0</v>
      </c>
      <c r="Q194" s="134">
        <f>COUNTA(Tab_NatRes[[#This Row],[Lead department]])</f>
        <v>1</v>
      </c>
      <c r="R194" s="134">
        <f>COUNTA(Tab_NatRes[[#This Row],[Spec targets / outcomes]])</f>
        <v>1</v>
      </c>
      <c r="S194" s="134">
        <f>COUNTA(Tab_NatRes[[#This Row],[Obligations]])</f>
        <v>1</v>
      </c>
      <c r="T194" s="134">
        <f t="shared" si="9"/>
        <v>0</v>
      </c>
      <c r="U194" s="134">
        <f t="shared" si="10"/>
        <v>1</v>
      </c>
      <c r="V194" s="209">
        <f>IF(Tab_NatRes[[#This Row],[Energy demand focus]]="Y",Tab_NatRes[[#This Row],[Category]],0)</f>
        <v>0</v>
      </c>
      <c r="W194" s="208">
        <f>IF(Tab_NatRes[[#This Row],[Energy demand focus]]="Y",Tab_NatRes[[#This Row],[Investment]],0)</f>
        <v>0</v>
      </c>
      <c r="X194" s="208">
        <f>IF(Tab_NatRes[[#This Row],[Energy demand focus]]="N",Tab_NatRes[[#This Row],[Investment]],0)</f>
        <v>0</v>
      </c>
    </row>
    <row r="195" spans="1:24" ht="45" x14ac:dyDescent="0.25">
      <c r="A195" s="78">
        <v>107</v>
      </c>
      <c r="B195" s="66">
        <v>10</v>
      </c>
      <c r="C195" s="68" t="s">
        <v>696</v>
      </c>
      <c r="D195" s="67" t="s">
        <v>376</v>
      </c>
      <c r="E195" s="67" t="s">
        <v>14</v>
      </c>
      <c r="F195" s="67" t="s">
        <v>14</v>
      </c>
      <c r="G195" s="67"/>
      <c r="H195" s="67"/>
      <c r="I195" s="66"/>
      <c r="J195" s="66" t="s">
        <v>84</v>
      </c>
      <c r="K195" s="66"/>
      <c r="L195" s="66" t="s">
        <v>67</v>
      </c>
      <c r="M195" s="66"/>
      <c r="N195" s="79" t="s">
        <v>86</v>
      </c>
      <c r="O195" s="134">
        <v>0</v>
      </c>
      <c r="P195" s="134">
        <f>COUNTA(Tab_NatRes[[#This Row],[Investment]])</f>
        <v>0</v>
      </c>
      <c r="Q195" s="134">
        <f>COUNTA(Tab_NatRes[[#This Row],[Lead department]])</f>
        <v>0</v>
      </c>
      <c r="R195" s="134">
        <f>COUNTA(Tab_NatRes[[#This Row],[Spec targets / outcomes]])</f>
        <v>1</v>
      </c>
      <c r="S195" s="134">
        <f>COUNTA(Tab_NatRes[[#This Row],[Obligations]])</f>
        <v>0</v>
      </c>
      <c r="T195" s="134">
        <f t="shared" si="9"/>
        <v>0</v>
      </c>
      <c r="U195" s="134">
        <f t="shared" si="10"/>
        <v>1</v>
      </c>
      <c r="V195" s="209">
        <f>IF(Tab_NatRes[[#This Row],[Energy demand focus]]="Y",Tab_NatRes[[#This Row],[Category]],0)</f>
        <v>0</v>
      </c>
      <c r="W195" s="208">
        <f>IF(Tab_NatRes[[#This Row],[Energy demand focus]]="Y",Tab_NatRes[[#This Row],[Investment]],0)</f>
        <v>0</v>
      </c>
      <c r="X195" s="208">
        <f>IF(Tab_NatRes[[#This Row],[Energy demand focus]]="N",Tab_NatRes[[#This Row],[Investment]],0)</f>
        <v>0</v>
      </c>
    </row>
    <row r="196" spans="1:24" ht="30" x14ac:dyDescent="0.25">
      <c r="A196" s="78">
        <v>107</v>
      </c>
      <c r="B196" s="66" t="s">
        <v>101</v>
      </c>
      <c r="C196" s="68" t="s">
        <v>696</v>
      </c>
      <c r="D196" s="67" t="s">
        <v>535</v>
      </c>
      <c r="E196" s="67" t="s">
        <v>122</v>
      </c>
      <c r="F196" s="67" t="s">
        <v>1</v>
      </c>
      <c r="G196" s="67" t="s">
        <v>654</v>
      </c>
      <c r="H196" s="67" t="s">
        <v>653</v>
      </c>
      <c r="I196" s="66" t="s">
        <v>608</v>
      </c>
      <c r="J196" s="66"/>
      <c r="K196" s="66"/>
      <c r="L196" s="66" t="s">
        <v>67</v>
      </c>
      <c r="M196" s="66" t="s">
        <v>647</v>
      </c>
      <c r="N196" s="79" t="s">
        <v>532</v>
      </c>
      <c r="O196" s="134">
        <v>1</v>
      </c>
      <c r="P196" s="134">
        <f>COUNTA(Tab_NatRes[[#This Row],[Investment]])</f>
        <v>1</v>
      </c>
      <c r="Q196" s="134">
        <f>COUNTA(Tab_NatRes[[#This Row],[Lead department]])</f>
        <v>1</v>
      </c>
      <c r="R196" s="134">
        <f>COUNTA(Tab_NatRes[[#This Row],[Spec targets / outcomes]])</f>
        <v>0</v>
      </c>
      <c r="S196" s="134">
        <f>COUNTA(Tab_NatRes[[#This Row],[Obligations]])</f>
        <v>0</v>
      </c>
      <c r="T196" s="134">
        <f t="shared" si="9"/>
        <v>0</v>
      </c>
      <c r="U196" s="134">
        <f t="shared" si="10"/>
        <v>1</v>
      </c>
      <c r="V196" s="209">
        <f>IF(Tab_NatRes[[#This Row],[Energy demand focus]]="Y",Tab_NatRes[[#This Row],[Category]],0)</f>
        <v>0</v>
      </c>
      <c r="W196" s="208">
        <f>IF(Tab_NatRes[[#This Row],[Energy demand focus]]="Y",Tab_NatRes[[#This Row],[Investment]],0)</f>
        <v>0</v>
      </c>
      <c r="X196" s="208" t="str">
        <f>IF(Tab_NatRes[[#This Row],[Energy demand focus]]="N",Tab_NatRes[[#This Row],[Investment]],0)</f>
        <v>£19.2 million</v>
      </c>
    </row>
    <row r="197" spans="1:24" ht="30" x14ac:dyDescent="0.25">
      <c r="A197" s="78">
        <v>108</v>
      </c>
      <c r="B197" s="66" t="s">
        <v>102</v>
      </c>
      <c r="C197" s="68" t="s">
        <v>696</v>
      </c>
      <c r="D197" s="67" t="s">
        <v>377</v>
      </c>
      <c r="E197" s="67" t="s">
        <v>378</v>
      </c>
      <c r="F197" s="67" t="s">
        <v>784</v>
      </c>
      <c r="G197" s="67" t="s">
        <v>523</v>
      </c>
      <c r="H197" s="67"/>
      <c r="I197" s="66"/>
      <c r="J197" s="66" t="s">
        <v>718</v>
      </c>
      <c r="K197" s="66"/>
      <c r="L197" s="66" t="s">
        <v>67</v>
      </c>
      <c r="M197" s="66" t="s">
        <v>647</v>
      </c>
      <c r="N197" s="79"/>
      <c r="O197" s="134">
        <v>1</v>
      </c>
      <c r="P197" s="134">
        <f>COUNTA(Tab_NatRes[[#This Row],[Investment]])</f>
        <v>0</v>
      </c>
      <c r="Q197" s="134">
        <f>COUNTA(Tab_NatRes[[#This Row],[Lead department]])</f>
        <v>0</v>
      </c>
      <c r="R197" s="134">
        <f>COUNTA(Tab_NatRes[[#This Row],[Spec targets / outcomes]])</f>
        <v>1</v>
      </c>
      <c r="S197" s="134">
        <f>COUNTA(Tab_NatRes[[#This Row],[Obligations]])</f>
        <v>0</v>
      </c>
      <c r="T197" s="134">
        <f t="shared" si="9"/>
        <v>0</v>
      </c>
      <c r="U197" s="134">
        <f t="shared" si="10"/>
        <v>1</v>
      </c>
      <c r="V197" s="209">
        <f>IF(Tab_NatRes[[#This Row],[Energy demand focus]]="Y",Tab_NatRes[[#This Row],[Category]],0)</f>
        <v>0</v>
      </c>
      <c r="W197" s="208">
        <f>IF(Tab_NatRes[[#This Row],[Energy demand focus]]="Y",Tab_NatRes[[#This Row],[Investment]],0)</f>
        <v>0</v>
      </c>
      <c r="X197" s="208">
        <f>IF(Tab_NatRes[[#This Row],[Energy demand focus]]="N",Tab_NatRes[[#This Row],[Investment]],0)</f>
        <v>0</v>
      </c>
    </row>
    <row r="198" spans="1:24" ht="45" x14ac:dyDescent="0.25">
      <c r="A198" s="78">
        <v>108</v>
      </c>
      <c r="B198" s="66">
        <v>12</v>
      </c>
      <c r="C198" s="68" t="s">
        <v>696</v>
      </c>
      <c r="D198" s="67" t="s">
        <v>380</v>
      </c>
      <c r="E198" s="67" t="s">
        <v>122</v>
      </c>
      <c r="F198" s="67" t="s">
        <v>1</v>
      </c>
      <c r="G198" s="67" t="s">
        <v>531</v>
      </c>
      <c r="H198" s="67" t="s">
        <v>184</v>
      </c>
      <c r="I198" s="66" t="s">
        <v>608</v>
      </c>
      <c r="J198" s="66"/>
      <c r="K198" s="66"/>
      <c r="L198" s="66" t="s">
        <v>67</v>
      </c>
      <c r="M198" s="66"/>
      <c r="N198" s="79" t="s">
        <v>532</v>
      </c>
      <c r="O198" s="134">
        <v>1</v>
      </c>
      <c r="P198" s="134">
        <f>COUNTA(Tab_NatRes[[#This Row],[Investment]])</f>
        <v>1</v>
      </c>
      <c r="Q198" s="134">
        <f>COUNTA(Tab_NatRes[[#This Row],[Lead department]])</f>
        <v>1</v>
      </c>
      <c r="R198" s="134">
        <f>COUNTA(Tab_NatRes[[#This Row],[Spec targets / outcomes]])</f>
        <v>0</v>
      </c>
      <c r="S198" s="134">
        <f>COUNTA(Tab_NatRes[[#This Row],[Obligations]])</f>
        <v>0</v>
      </c>
      <c r="T198" s="134">
        <f t="shared" si="9"/>
        <v>0</v>
      </c>
      <c r="U198" s="134">
        <f t="shared" si="10"/>
        <v>1</v>
      </c>
      <c r="V198" s="209">
        <f>IF(Tab_NatRes[[#This Row],[Energy demand focus]]="Y",Tab_NatRes[[#This Row],[Category]],0)</f>
        <v>0</v>
      </c>
      <c r="W198" s="208">
        <f>IF(Tab_NatRes[[#This Row],[Energy demand focus]]="Y",Tab_NatRes[[#This Row],[Investment]],0)</f>
        <v>0</v>
      </c>
      <c r="X198" s="208" t="str">
        <f>IF(Tab_NatRes[[#This Row],[Energy demand focus]]="N",Tab_NatRes[[#This Row],[Investment]],0)</f>
        <v>£10 million</v>
      </c>
    </row>
    <row r="199" spans="1:24" ht="30" x14ac:dyDescent="0.25">
      <c r="A199" s="78">
        <v>108</v>
      </c>
      <c r="B199" s="66">
        <v>13</v>
      </c>
      <c r="C199" s="68" t="s">
        <v>696</v>
      </c>
      <c r="D199" s="67" t="s">
        <v>381</v>
      </c>
      <c r="E199" s="67" t="s">
        <v>14</v>
      </c>
      <c r="F199" s="67" t="s">
        <v>388</v>
      </c>
      <c r="G199" s="67"/>
      <c r="H199" s="67"/>
      <c r="I199" s="66"/>
      <c r="J199" s="66" t="s">
        <v>717</v>
      </c>
      <c r="K199" s="66" t="s">
        <v>720</v>
      </c>
      <c r="L199" s="66" t="s">
        <v>67</v>
      </c>
      <c r="M199" s="66"/>
      <c r="N199" s="79"/>
      <c r="O199" s="134">
        <v>0</v>
      </c>
      <c r="P199" s="134">
        <f>COUNTA(Tab_NatRes[[#This Row],[Investment]])</f>
        <v>0</v>
      </c>
      <c r="Q199" s="134">
        <f>COUNTA(Tab_NatRes[[#This Row],[Lead department]])</f>
        <v>0</v>
      </c>
      <c r="R199" s="134">
        <f>COUNTA(Tab_NatRes[[#This Row],[Spec targets / outcomes]])</f>
        <v>1</v>
      </c>
      <c r="S199" s="134">
        <f>COUNTA(Tab_NatRes[[#This Row],[Obligations]])</f>
        <v>1</v>
      </c>
      <c r="T199" s="134">
        <f t="shared" si="9"/>
        <v>0</v>
      </c>
      <c r="U199" s="134">
        <f t="shared" si="10"/>
        <v>1</v>
      </c>
      <c r="V199" s="209">
        <f>IF(Tab_NatRes[[#This Row],[Energy demand focus]]="Y",Tab_NatRes[[#This Row],[Category]],0)</f>
        <v>0</v>
      </c>
      <c r="W199" s="208">
        <f>IF(Tab_NatRes[[#This Row],[Energy demand focus]]="Y",Tab_NatRes[[#This Row],[Investment]],0)</f>
        <v>0</v>
      </c>
      <c r="X199" s="208">
        <f>IF(Tab_NatRes[[#This Row],[Energy demand focus]]="N",Tab_NatRes[[#This Row],[Investment]],0)</f>
        <v>0</v>
      </c>
    </row>
    <row r="200" spans="1:24" ht="60" x14ac:dyDescent="0.25">
      <c r="A200" s="78">
        <v>108</v>
      </c>
      <c r="B200" s="66">
        <v>14</v>
      </c>
      <c r="C200" s="68" t="s">
        <v>697</v>
      </c>
      <c r="D200" s="67" t="s">
        <v>651</v>
      </c>
      <c r="E200" s="67" t="s">
        <v>14</v>
      </c>
      <c r="F200" s="67" t="s">
        <v>14</v>
      </c>
      <c r="G200" s="67" t="s">
        <v>656</v>
      </c>
      <c r="H200" s="67"/>
      <c r="I200" s="66"/>
      <c r="J200" s="66" t="s">
        <v>84</v>
      </c>
      <c r="K200" s="66"/>
      <c r="L200" s="66" t="s">
        <v>352</v>
      </c>
      <c r="M200" s="66"/>
      <c r="N200" s="79" t="s">
        <v>86</v>
      </c>
      <c r="O200" s="134">
        <v>1</v>
      </c>
      <c r="P200" s="134">
        <f>COUNTA(Tab_NatRes[[#This Row],[Investment]])</f>
        <v>0</v>
      </c>
      <c r="Q200" s="134">
        <f>COUNTA(Tab_NatRes[[#This Row],[Lead department]])</f>
        <v>0</v>
      </c>
      <c r="R200" s="134">
        <f>COUNTA(Tab_NatRes[[#This Row],[Spec targets / outcomes]])</f>
        <v>1</v>
      </c>
      <c r="S200" s="134">
        <f>COUNTA(Tab_NatRes[[#This Row],[Obligations]])</f>
        <v>0</v>
      </c>
      <c r="T200" s="134">
        <f t="shared" si="9"/>
        <v>0</v>
      </c>
      <c r="U200" s="134">
        <f t="shared" si="10"/>
        <v>0</v>
      </c>
      <c r="V200" s="209">
        <f>IF(Tab_NatRes[[#This Row],[Energy demand focus]]="Y",Tab_NatRes[[#This Row],[Category]],0)</f>
        <v>0</v>
      </c>
      <c r="W200" s="208">
        <f>IF(Tab_NatRes[[#This Row],[Energy demand focus]]="Y",Tab_NatRes[[#This Row],[Investment]],0)</f>
        <v>0</v>
      </c>
      <c r="X200" s="208">
        <f>IF(Tab_NatRes[[#This Row],[Energy demand focus]]="N",Tab_NatRes[[#This Row],[Investment]],0)</f>
        <v>0</v>
      </c>
    </row>
    <row r="201" spans="1:24" ht="30" x14ac:dyDescent="0.25">
      <c r="A201" s="78">
        <v>108</v>
      </c>
      <c r="B201" s="66">
        <v>15</v>
      </c>
      <c r="C201" s="68" t="s">
        <v>697</v>
      </c>
      <c r="D201" s="67" t="s">
        <v>422</v>
      </c>
      <c r="E201" s="67" t="s">
        <v>388</v>
      </c>
      <c r="F201" s="67" t="s">
        <v>388</v>
      </c>
      <c r="G201" s="67"/>
      <c r="H201" s="67"/>
      <c r="I201" s="66"/>
      <c r="J201" s="66"/>
      <c r="K201" s="66" t="s">
        <v>720</v>
      </c>
      <c r="L201" s="66" t="s">
        <v>352</v>
      </c>
      <c r="M201" s="66"/>
      <c r="N201" s="79"/>
      <c r="O201" s="134">
        <v>0</v>
      </c>
      <c r="P201" s="134">
        <f>COUNTA(Tab_NatRes[[#This Row],[Investment]])</f>
        <v>0</v>
      </c>
      <c r="Q201" s="134">
        <f>COUNTA(Tab_NatRes[[#This Row],[Lead department]])</f>
        <v>0</v>
      </c>
      <c r="R201" s="134">
        <f>COUNTA(Tab_NatRes[[#This Row],[Spec targets / outcomes]])</f>
        <v>0</v>
      </c>
      <c r="S201" s="134">
        <f>COUNTA(Tab_NatRes[[#This Row],[Obligations]])</f>
        <v>1</v>
      </c>
      <c r="T201" s="134">
        <f t="shared" si="9"/>
        <v>0</v>
      </c>
      <c r="U201" s="134">
        <f t="shared" si="10"/>
        <v>0</v>
      </c>
      <c r="V201" s="209">
        <f>IF(Tab_NatRes[[#This Row],[Energy demand focus]]="Y",Tab_NatRes[[#This Row],[Category]],0)</f>
        <v>0</v>
      </c>
      <c r="W201" s="208">
        <f>IF(Tab_NatRes[[#This Row],[Energy demand focus]]="Y",Tab_NatRes[[#This Row],[Investment]],0)</f>
        <v>0</v>
      </c>
      <c r="X201" s="208">
        <f>IF(Tab_NatRes[[#This Row],[Energy demand focus]]="N",Tab_NatRes[[#This Row],[Investment]],0)</f>
        <v>0</v>
      </c>
    </row>
    <row r="202" spans="1:24" ht="45" x14ac:dyDescent="0.25">
      <c r="A202" s="78">
        <v>108</v>
      </c>
      <c r="B202" s="66">
        <v>16</v>
      </c>
      <c r="C202" s="68" t="s">
        <v>697</v>
      </c>
      <c r="D202" s="67" t="s">
        <v>542</v>
      </c>
      <c r="E202" s="67" t="s">
        <v>379</v>
      </c>
      <c r="F202" s="67" t="s">
        <v>784</v>
      </c>
      <c r="G202" s="67" t="s">
        <v>652</v>
      </c>
      <c r="H202" s="67"/>
      <c r="I202" s="66" t="s">
        <v>608</v>
      </c>
      <c r="J202" s="66" t="s">
        <v>776</v>
      </c>
      <c r="K202" s="66" t="s">
        <v>720</v>
      </c>
      <c r="L202" s="66" t="s">
        <v>352</v>
      </c>
      <c r="M202" s="66"/>
      <c r="N202" s="79" t="s">
        <v>86</v>
      </c>
      <c r="O202" s="134">
        <v>1</v>
      </c>
      <c r="P202" s="134">
        <f>COUNTA(Tab_NatRes[[#This Row],[Investment]])</f>
        <v>0</v>
      </c>
      <c r="Q202" s="134">
        <f>COUNTA(Tab_NatRes[[#This Row],[Lead department]])</f>
        <v>1</v>
      </c>
      <c r="R202" s="134">
        <f>COUNTA(Tab_NatRes[[#This Row],[Spec targets / outcomes]])</f>
        <v>1</v>
      </c>
      <c r="S202" s="134">
        <f>COUNTA(Tab_NatRes[[#This Row],[Obligations]])</f>
        <v>1</v>
      </c>
      <c r="T202" s="134">
        <f t="shared" si="9"/>
        <v>0</v>
      </c>
      <c r="U202" s="134">
        <f t="shared" si="10"/>
        <v>0</v>
      </c>
      <c r="V202" s="209">
        <f>IF(Tab_NatRes[[#This Row],[Energy demand focus]]="Y",Tab_NatRes[[#This Row],[Category]],0)</f>
        <v>0</v>
      </c>
      <c r="W202" s="208">
        <f>IF(Tab_NatRes[[#This Row],[Energy demand focus]]="Y",Tab_NatRes[[#This Row],[Investment]],0)</f>
        <v>0</v>
      </c>
      <c r="X202" s="208">
        <f>IF(Tab_NatRes[[#This Row],[Energy demand focus]]="N",Tab_NatRes[[#This Row],[Investment]],0)</f>
        <v>0</v>
      </c>
    </row>
    <row r="203" spans="1:24" ht="30" x14ac:dyDescent="0.25">
      <c r="A203" s="78">
        <v>108</v>
      </c>
      <c r="B203" s="66">
        <v>17</v>
      </c>
      <c r="C203" s="68" t="s">
        <v>697</v>
      </c>
      <c r="D203" s="67" t="s">
        <v>382</v>
      </c>
      <c r="E203" s="67" t="s">
        <v>549</v>
      </c>
      <c r="F203" s="67" t="s">
        <v>785</v>
      </c>
      <c r="G203" s="67" t="s">
        <v>657</v>
      </c>
      <c r="H203" s="67"/>
      <c r="I203" s="66" t="s">
        <v>608</v>
      </c>
      <c r="J203" s="66" t="s">
        <v>84</v>
      </c>
      <c r="K203" s="66" t="s">
        <v>720</v>
      </c>
      <c r="L203" s="66" t="s">
        <v>67</v>
      </c>
      <c r="M203" s="66"/>
      <c r="N203" s="79"/>
      <c r="O203" s="134">
        <v>1</v>
      </c>
      <c r="P203" s="134">
        <f>COUNTA(Tab_NatRes[[#This Row],[Investment]])</f>
        <v>0</v>
      </c>
      <c r="Q203" s="134">
        <f>COUNTA(Tab_NatRes[[#This Row],[Lead department]])</f>
        <v>1</v>
      </c>
      <c r="R203" s="134">
        <f>COUNTA(Tab_NatRes[[#This Row],[Spec targets / outcomes]])</f>
        <v>1</v>
      </c>
      <c r="S203" s="134">
        <f>COUNTA(Tab_NatRes[[#This Row],[Obligations]])</f>
        <v>1</v>
      </c>
      <c r="T203" s="134">
        <f t="shared" si="9"/>
        <v>0</v>
      </c>
      <c r="U203" s="134">
        <f t="shared" si="10"/>
        <v>1</v>
      </c>
      <c r="V203" s="209">
        <f>IF(Tab_NatRes[[#This Row],[Energy demand focus]]="Y",Tab_NatRes[[#This Row],[Category]],0)</f>
        <v>0</v>
      </c>
      <c r="W203" s="208">
        <f>IF(Tab_NatRes[[#This Row],[Energy demand focus]]="Y",Tab_NatRes[[#This Row],[Investment]],0)</f>
        <v>0</v>
      </c>
      <c r="X203" s="208">
        <f>IF(Tab_NatRes[[#This Row],[Energy demand focus]]="N",Tab_NatRes[[#This Row],[Investment]],0)</f>
        <v>0</v>
      </c>
    </row>
    <row r="204" spans="1:24" ht="45" x14ac:dyDescent="0.25">
      <c r="A204" s="78">
        <v>108</v>
      </c>
      <c r="B204" s="66">
        <v>18</v>
      </c>
      <c r="C204" s="68" t="s">
        <v>697</v>
      </c>
      <c r="D204" s="67" t="s">
        <v>383</v>
      </c>
      <c r="E204" s="67" t="s">
        <v>268</v>
      </c>
      <c r="F204" s="67" t="s">
        <v>130</v>
      </c>
      <c r="G204" s="67" t="s">
        <v>541</v>
      </c>
      <c r="H204" s="67"/>
      <c r="I204" s="66" t="s">
        <v>608</v>
      </c>
      <c r="J204" s="66" t="s">
        <v>718</v>
      </c>
      <c r="K204" s="66" t="s">
        <v>720</v>
      </c>
      <c r="L204" s="66" t="s">
        <v>68</v>
      </c>
      <c r="M204" s="66"/>
      <c r="N204" s="79"/>
      <c r="O204" s="134">
        <v>1</v>
      </c>
      <c r="P204" s="134">
        <f>COUNTA(Tab_NatRes[[#This Row],[Investment]])</f>
        <v>0</v>
      </c>
      <c r="Q204" s="134">
        <f>COUNTA(Tab_NatRes[[#This Row],[Lead department]])</f>
        <v>1</v>
      </c>
      <c r="R204" s="134">
        <f>COUNTA(Tab_NatRes[[#This Row],[Spec targets / outcomes]])</f>
        <v>1</v>
      </c>
      <c r="S204" s="134">
        <f>COUNTA(Tab_NatRes[[#This Row],[Obligations]])</f>
        <v>1</v>
      </c>
      <c r="T204" s="134">
        <f t="shared" si="9"/>
        <v>0</v>
      </c>
      <c r="U204" s="134">
        <f t="shared" si="10"/>
        <v>0</v>
      </c>
      <c r="V204" s="209">
        <f>IF(Tab_NatRes[[#This Row],[Energy demand focus]]="Y",Tab_NatRes[[#This Row],[Category]],0)</f>
        <v>0</v>
      </c>
      <c r="W204" s="208">
        <f>IF(Tab_NatRes[[#This Row],[Energy demand focus]]="Y",Tab_NatRes[[#This Row],[Investment]],0)</f>
        <v>0</v>
      </c>
      <c r="X204" s="208">
        <f>IF(Tab_NatRes[[#This Row],[Energy demand focus]]="N",Tab_NatRes[[#This Row],[Investment]],0)</f>
        <v>0</v>
      </c>
    </row>
    <row r="205" spans="1:24" ht="30" x14ac:dyDescent="0.25">
      <c r="A205" s="78">
        <v>109</v>
      </c>
      <c r="B205" s="66" t="s">
        <v>385</v>
      </c>
      <c r="C205" s="68" t="s">
        <v>697</v>
      </c>
      <c r="D205" s="67" t="s">
        <v>384</v>
      </c>
      <c r="E205" s="67" t="s">
        <v>388</v>
      </c>
      <c r="F205" s="67" t="s">
        <v>388</v>
      </c>
      <c r="G205" s="67"/>
      <c r="H205" s="67"/>
      <c r="I205" s="66"/>
      <c r="J205" s="66"/>
      <c r="K205" s="66"/>
      <c r="L205" s="66" t="s">
        <v>68</v>
      </c>
      <c r="M205" s="66"/>
      <c r="N205" s="79"/>
      <c r="O205" s="134">
        <v>0</v>
      </c>
      <c r="P205" s="134">
        <f>COUNTA(Tab_NatRes[[#This Row],[Investment]])</f>
        <v>0</v>
      </c>
      <c r="Q205" s="134">
        <f>COUNTA(Tab_NatRes[[#This Row],[Lead department]])</f>
        <v>0</v>
      </c>
      <c r="R205" s="134">
        <f>COUNTA(Tab_NatRes[[#This Row],[Spec targets / outcomes]])</f>
        <v>0</v>
      </c>
      <c r="S205" s="134">
        <f>COUNTA(Tab_NatRes[[#This Row],[Obligations]])</f>
        <v>0</v>
      </c>
      <c r="T205" s="134">
        <f t="shared" si="9"/>
        <v>0</v>
      </c>
      <c r="U205" s="134">
        <f t="shared" si="10"/>
        <v>0</v>
      </c>
      <c r="V205" s="209">
        <f>IF(Tab_NatRes[[#This Row],[Energy demand focus]]="Y",Tab_NatRes[[#This Row],[Category]],0)</f>
        <v>0</v>
      </c>
      <c r="W205" s="208">
        <f>IF(Tab_NatRes[[#This Row],[Energy demand focus]]="Y",Tab_NatRes[[#This Row],[Investment]],0)</f>
        <v>0</v>
      </c>
      <c r="X205" s="208">
        <f>IF(Tab_NatRes[[#This Row],[Energy demand focus]]="N",Tab_NatRes[[#This Row],[Investment]],0)</f>
        <v>0</v>
      </c>
    </row>
    <row r="206" spans="1:24" ht="30" x14ac:dyDescent="0.25">
      <c r="A206" s="78">
        <v>109</v>
      </c>
      <c r="B206" s="66" t="s">
        <v>386</v>
      </c>
      <c r="C206" s="68" t="s">
        <v>697</v>
      </c>
      <c r="D206" s="67" t="s">
        <v>387</v>
      </c>
      <c r="E206" s="67" t="s">
        <v>389</v>
      </c>
      <c r="F206" s="67" t="s">
        <v>784</v>
      </c>
      <c r="G206" s="67"/>
      <c r="H206" s="67"/>
      <c r="I206" s="66"/>
      <c r="J206" s="66" t="s">
        <v>718</v>
      </c>
      <c r="K206" s="66"/>
      <c r="L206" s="66" t="s">
        <v>68</v>
      </c>
      <c r="M206" s="66"/>
      <c r="N206" s="79"/>
      <c r="O206" s="134">
        <v>0</v>
      </c>
      <c r="P206" s="134">
        <f>COUNTA(Tab_NatRes[[#This Row],[Investment]])</f>
        <v>0</v>
      </c>
      <c r="Q206" s="134">
        <f>COUNTA(Tab_NatRes[[#This Row],[Lead department]])</f>
        <v>0</v>
      </c>
      <c r="R206" s="134">
        <f>COUNTA(Tab_NatRes[[#This Row],[Spec targets / outcomes]])</f>
        <v>1</v>
      </c>
      <c r="S206" s="134">
        <f>COUNTA(Tab_NatRes[[#This Row],[Obligations]])</f>
        <v>0</v>
      </c>
      <c r="T206" s="134">
        <f t="shared" si="9"/>
        <v>0</v>
      </c>
      <c r="U206" s="134">
        <f t="shared" si="10"/>
        <v>0</v>
      </c>
      <c r="V206" s="209">
        <f>IF(Tab_NatRes[[#This Row],[Energy demand focus]]="Y",Tab_NatRes[[#This Row],[Category]],0)</f>
        <v>0</v>
      </c>
      <c r="W206" s="208">
        <f>IF(Tab_NatRes[[#This Row],[Energy demand focus]]="Y",Tab_NatRes[[#This Row],[Investment]],0)</f>
        <v>0</v>
      </c>
      <c r="X206" s="208">
        <f>IF(Tab_NatRes[[#This Row],[Energy demand focus]]="N",Tab_NatRes[[#This Row],[Investment]],0)</f>
        <v>0</v>
      </c>
    </row>
    <row r="207" spans="1:24" ht="30" x14ac:dyDescent="0.25">
      <c r="A207" s="78">
        <v>109</v>
      </c>
      <c r="B207" s="66">
        <v>20</v>
      </c>
      <c r="C207" s="68" t="s">
        <v>697</v>
      </c>
      <c r="D207" s="67" t="s">
        <v>390</v>
      </c>
      <c r="E207" s="67" t="s">
        <v>379</v>
      </c>
      <c r="F207" s="67" t="s">
        <v>784</v>
      </c>
      <c r="G207" s="67"/>
      <c r="H207" s="67"/>
      <c r="I207" s="66"/>
      <c r="J207" s="66"/>
      <c r="K207" s="66" t="s">
        <v>720</v>
      </c>
      <c r="L207" s="66" t="s">
        <v>68</v>
      </c>
      <c r="M207" s="66"/>
      <c r="N207" s="79"/>
      <c r="O207" s="134">
        <v>0</v>
      </c>
      <c r="P207" s="134">
        <f>COUNTA(Tab_NatRes[[#This Row],[Investment]])</f>
        <v>0</v>
      </c>
      <c r="Q207" s="134">
        <f>COUNTA(Tab_NatRes[[#This Row],[Lead department]])</f>
        <v>0</v>
      </c>
      <c r="R207" s="134">
        <f>COUNTA(Tab_NatRes[[#This Row],[Spec targets / outcomes]])</f>
        <v>0</v>
      </c>
      <c r="S207" s="134">
        <f>COUNTA(Tab_NatRes[[#This Row],[Obligations]])</f>
        <v>1</v>
      </c>
      <c r="T207" s="134">
        <f t="shared" si="9"/>
        <v>0</v>
      </c>
      <c r="U207" s="134">
        <f t="shared" si="10"/>
        <v>0</v>
      </c>
      <c r="V207" s="209">
        <f>IF(Tab_NatRes[[#This Row],[Energy demand focus]]="Y",Tab_NatRes[[#This Row],[Category]],0)</f>
        <v>0</v>
      </c>
      <c r="W207" s="208">
        <f>IF(Tab_NatRes[[#This Row],[Energy demand focus]]="Y",Tab_NatRes[[#This Row],[Investment]],0)</f>
        <v>0</v>
      </c>
      <c r="X207" s="208">
        <f>IF(Tab_NatRes[[#This Row],[Energy demand focus]]="N",Tab_NatRes[[#This Row],[Investment]],0)</f>
        <v>0</v>
      </c>
    </row>
    <row r="208" spans="1:24" ht="30" x14ac:dyDescent="0.25">
      <c r="A208" s="78">
        <v>109</v>
      </c>
      <c r="B208" s="66">
        <v>21</v>
      </c>
      <c r="C208" s="68" t="s">
        <v>697</v>
      </c>
      <c r="D208" s="67" t="s">
        <v>391</v>
      </c>
      <c r="E208" s="67" t="s">
        <v>14</v>
      </c>
      <c r="F208" s="67" t="s">
        <v>14</v>
      </c>
      <c r="G208" s="67" t="s">
        <v>655</v>
      </c>
      <c r="H208" s="67"/>
      <c r="I208" s="66" t="s">
        <v>608</v>
      </c>
      <c r="J208" s="66" t="s">
        <v>84</v>
      </c>
      <c r="K208" s="66" t="s">
        <v>720</v>
      </c>
      <c r="L208" s="66" t="s">
        <v>68</v>
      </c>
      <c r="M208" s="66"/>
      <c r="N208" s="79" t="s">
        <v>87</v>
      </c>
      <c r="O208" s="134">
        <v>1</v>
      </c>
      <c r="P208" s="134">
        <f>COUNTA(Tab_NatRes[[#This Row],[Investment]])</f>
        <v>0</v>
      </c>
      <c r="Q208" s="134">
        <f>COUNTA(Tab_NatRes[[#This Row],[Lead department]])</f>
        <v>1</v>
      </c>
      <c r="R208" s="134">
        <f>COUNTA(Tab_NatRes[[#This Row],[Spec targets / outcomes]])</f>
        <v>1</v>
      </c>
      <c r="S208" s="134">
        <f>COUNTA(Tab_NatRes[[#This Row],[Obligations]])</f>
        <v>1</v>
      </c>
      <c r="T208" s="134">
        <f t="shared" si="9"/>
        <v>0</v>
      </c>
      <c r="U208" s="134">
        <f t="shared" si="10"/>
        <v>0</v>
      </c>
      <c r="V208" s="209">
        <f>IF(Tab_NatRes[[#This Row],[Energy demand focus]]="Y",Tab_NatRes[[#This Row],[Category]],0)</f>
        <v>0</v>
      </c>
      <c r="W208" s="208">
        <f>IF(Tab_NatRes[[#This Row],[Energy demand focus]]="Y",Tab_NatRes[[#This Row],[Investment]],0)</f>
        <v>0</v>
      </c>
      <c r="X208" s="208">
        <f>IF(Tab_NatRes[[#This Row],[Energy demand focus]]="N",Tab_NatRes[[#This Row],[Investment]],0)</f>
        <v>0</v>
      </c>
    </row>
    <row r="209" spans="1:24" ht="30" x14ac:dyDescent="0.25">
      <c r="A209" s="78">
        <v>109</v>
      </c>
      <c r="B209" s="66">
        <v>22</v>
      </c>
      <c r="C209" s="68" t="s">
        <v>697</v>
      </c>
      <c r="D209" s="67" t="s">
        <v>392</v>
      </c>
      <c r="E209" s="67" t="s">
        <v>393</v>
      </c>
      <c r="F209" s="67" t="s">
        <v>19</v>
      </c>
      <c r="G209" s="67"/>
      <c r="H209" s="67"/>
      <c r="I209" s="66"/>
      <c r="J209" s="66" t="s">
        <v>854</v>
      </c>
      <c r="K209" s="66" t="s">
        <v>720</v>
      </c>
      <c r="L209" s="66" t="s">
        <v>67</v>
      </c>
      <c r="M209" s="66"/>
      <c r="N209" s="79"/>
      <c r="O209" s="134">
        <v>0</v>
      </c>
      <c r="P209" s="134">
        <f>COUNTA(Tab_NatRes[[#This Row],[Investment]])</f>
        <v>0</v>
      </c>
      <c r="Q209" s="134">
        <f>COUNTA(Tab_NatRes[[#This Row],[Lead department]])</f>
        <v>0</v>
      </c>
      <c r="R209" s="134">
        <f>COUNTA(Tab_NatRes[[#This Row],[Spec targets / outcomes]])</f>
        <v>1</v>
      </c>
      <c r="S209" s="134">
        <f>COUNTA(Tab_NatRes[[#This Row],[Obligations]])</f>
        <v>1</v>
      </c>
      <c r="T209" s="134">
        <f t="shared" si="9"/>
        <v>0</v>
      </c>
      <c r="U209" s="134">
        <f t="shared" si="10"/>
        <v>1</v>
      </c>
      <c r="V209" s="209">
        <f>IF(Tab_NatRes[[#This Row],[Energy demand focus]]="Y",Tab_NatRes[[#This Row],[Category]],0)</f>
        <v>0</v>
      </c>
      <c r="W209" s="208">
        <f>IF(Tab_NatRes[[#This Row],[Energy demand focus]]="Y",Tab_NatRes[[#This Row],[Investment]],0)</f>
        <v>0</v>
      </c>
      <c r="X209" s="208">
        <f>IF(Tab_NatRes[[#This Row],[Energy demand focus]]="N",Tab_NatRes[[#This Row],[Investment]],0)</f>
        <v>0</v>
      </c>
    </row>
    <row r="210" spans="1:24" x14ac:dyDescent="0.25">
      <c r="A210" s="78">
        <v>109</v>
      </c>
      <c r="B210" s="66"/>
      <c r="C210" s="68" t="s">
        <v>694</v>
      </c>
      <c r="D210" s="75" t="s">
        <v>394</v>
      </c>
      <c r="E210" s="67" t="s">
        <v>122</v>
      </c>
      <c r="F210" s="67" t="s">
        <v>1</v>
      </c>
      <c r="G210" s="67" t="s">
        <v>191</v>
      </c>
      <c r="H210" s="75" t="s">
        <v>395</v>
      </c>
      <c r="I210" s="66"/>
      <c r="J210" s="66"/>
      <c r="K210" s="66"/>
      <c r="L210" s="66" t="s">
        <v>335</v>
      </c>
      <c r="M210" s="66"/>
      <c r="N210" s="79"/>
      <c r="O210" s="134">
        <v>1</v>
      </c>
      <c r="P210" s="134">
        <f>COUNTA(Tab_NatRes[[#This Row],[Investment]])</f>
        <v>1</v>
      </c>
      <c r="Q210" s="134">
        <f>COUNTA(Tab_NatRes[[#This Row],[Lead department]])</f>
        <v>0</v>
      </c>
      <c r="R210" s="134">
        <f>COUNTA(Tab_NatRes[[#This Row],[Spec targets / outcomes]])</f>
        <v>0</v>
      </c>
      <c r="S210" s="134">
        <f>COUNTA(Tab_NatRes[[#This Row],[Obligations]])</f>
        <v>0</v>
      </c>
      <c r="T210" s="134">
        <f t="shared" si="9"/>
        <v>0</v>
      </c>
      <c r="U210" s="134">
        <f t="shared" si="10"/>
        <v>0</v>
      </c>
      <c r="V210" s="209">
        <f>IF(Tab_NatRes[[#This Row],[Energy demand focus]]="Y",Tab_NatRes[[#This Row],[Category]],0)</f>
        <v>0</v>
      </c>
      <c r="W210" s="208">
        <f>IF(Tab_NatRes[[#This Row],[Energy demand focus]]="Y",Tab_NatRes[[#This Row],[Investment]],0)</f>
        <v>0</v>
      </c>
      <c r="X210" s="208">
        <f>IF(Tab_NatRes[[#This Row],[Energy demand focus]]="N",Tab_NatRes[[#This Row],[Investment]],0)</f>
        <v>0</v>
      </c>
    </row>
    <row r="211" spans="1:24" ht="30" x14ac:dyDescent="0.25">
      <c r="A211" s="78">
        <v>109</v>
      </c>
      <c r="B211" s="66"/>
      <c r="C211" s="68" t="s">
        <v>694</v>
      </c>
      <c r="D211" s="67" t="s">
        <v>398</v>
      </c>
      <c r="E211" s="67" t="s">
        <v>122</v>
      </c>
      <c r="F211" s="67" t="s">
        <v>1</v>
      </c>
      <c r="G211" s="67" t="s">
        <v>396</v>
      </c>
      <c r="H211" s="75" t="s">
        <v>397</v>
      </c>
      <c r="I211" s="66"/>
      <c r="J211" s="66"/>
      <c r="K211" s="66"/>
      <c r="L211" s="66" t="s">
        <v>335</v>
      </c>
      <c r="M211" s="66"/>
      <c r="N211" s="79"/>
      <c r="O211" s="134">
        <v>1</v>
      </c>
      <c r="P211" s="134">
        <f>COUNTA(Tab_NatRes[[#This Row],[Investment]])</f>
        <v>1</v>
      </c>
      <c r="Q211" s="134">
        <f>COUNTA(Tab_NatRes[[#This Row],[Lead department]])</f>
        <v>0</v>
      </c>
      <c r="R211" s="134">
        <f>COUNTA(Tab_NatRes[[#This Row],[Spec targets / outcomes]])</f>
        <v>0</v>
      </c>
      <c r="S211" s="134">
        <f>COUNTA(Tab_NatRes[[#This Row],[Obligations]])</f>
        <v>0</v>
      </c>
      <c r="T211" s="134">
        <f t="shared" si="9"/>
        <v>0</v>
      </c>
      <c r="U211" s="134">
        <f t="shared" si="10"/>
        <v>0</v>
      </c>
      <c r="V211" s="209">
        <f>IF(Tab_NatRes[[#This Row],[Energy demand focus]]="Y",Tab_NatRes[[#This Row],[Category]],0)</f>
        <v>0</v>
      </c>
      <c r="W211" s="208">
        <f>IF(Tab_NatRes[[#This Row],[Energy demand focus]]="Y",Tab_NatRes[[#This Row],[Investment]],0)</f>
        <v>0</v>
      </c>
      <c r="X211" s="208">
        <f>IF(Tab_NatRes[[#This Row],[Energy demand focus]]="N",Tab_NatRes[[#This Row],[Investment]],0)</f>
        <v>0</v>
      </c>
    </row>
    <row r="212" spans="1:24" ht="30" x14ac:dyDescent="0.25">
      <c r="A212" s="78">
        <v>110</v>
      </c>
      <c r="B212" s="66"/>
      <c r="C212" s="68" t="s">
        <v>694</v>
      </c>
      <c r="D212" s="67" t="s">
        <v>399</v>
      </c>
      <c r="E212" s="67" t="s">
        <v>122</v>
      </c>
      <c r="F212" s="67" t="s">
        <v>1</v>
      </c>
      <c r="G212" s="67" t="s">
        <v>400</v>
      </c>
      <c r="H212" s="67"/>
      <c r="I212" s="66"/>
      <c r="J212" s="66"/>
      <c r="K212" s="66"/>
      <c r="L212" s="66" t="s">
        <v>335</v>
      </c>
      <c r="M212" s="66"/>
      <c r="N212" s="79"/>
      <c r="O212" s="134">
        <v>1</v>
      </c>
      <c r="P212" s="134">
        <f>COUNTA(Tab_NatRes[[#This Row],[Investment]])</f>
        <v>0</v>
      </c>
      <c r="Q212" s="134">
        <f>COUNTA(Tab_NatRes[[#This Row],[Lead department]])</f>
        <v>0</v>
      </c>
      <c r="R212" s="134">
        <f>COUNTA(Tab_NatRes[[#This Row],[Spec targets / outcomes]])</f>
        <v>0</v>
      </c>
      <c r="S212" s="134">
        <f>COUNTA(Tab_NatRes[[#This Row],[Obligations]])</f>
        <v>0</v>
      </c>
      <c r="T212" s="134">
        <f t="shared" si="9"/>
        <v>0</v>
      </c>
      <c r="U212" s="134">
        <f t="shared" si="10"/>
        <v>0</v>
      </c>
      <c r="V212" s="209">
        <f>IF(Tab_NatRes[[#This Row],[Energy demand focus]]="Y",Tab_NatRes[[#This Row],[Category]],0)</f>
        <v>0</v>
      </c>
      <c r="W212" s="208">
        <f>IF(Tab_NatRes[[#This Row],[Energy demand focus]]="Y",Tab_NatRes[[#This Row],[Investment]],0)</f>
        <v>0</v>
      </c>
      <c r="X212" s="208">
        <f>IF(Tab_NatRes[[#This Row],[Energy demand focus]]="N",Tab_NatRes[[#This Row],[Investment]],0)</f>
        <v>0</v>
      </c>
    </row>
    <row r="213" spans="1:24" ht="45" x14ac:dyDescent="0.25">
      <c r="A213" s="78">
        <v>110</v>
      </c>
      <c r="B213" s="66"/>
      <c r="C213" s="68" t="s">
        <v>694</v>
      </c>
      <c r="D213" s="67" t="s">
        <v>402</v>
      </c>
      <c r="E213" s="67" t="s">
        <v>122</v>
      </c>
      <c r="F213" s="67" t="s">
        <v>1</v>
      </c>
      <c r="G213" s="67" t="s">
        <v>530</v>
      </c>
      <c r="H213" s="67" t="s">
        <v>401</v>
      </c>
      <c r="I213" s="66"/>
      <c r="J213" s="66"/>
      <c r="K213" s="66"/>
      <c r="L213" s="66" t="s">
        <v>335</v>
      </c>
      <c r="M213" s="66"/>
      <c r="N213" s="79"/>
      <c r="O213" s="134">
        <v>1</v>
      </c>
      <c r="P213" s="134">
        <f>COUNTA(Tab_NatRes[[#This Row],[Investment]])</f>
        <v>1</v>
      </c>
      <c r="Q213" s="134">
        <f>COUNTA(Tab_NatRes[[#This Row],[Lead department]])</f>
        <v>0</v>
      </c>
      <c r="R213" s="134">
        <f>COUNTA(Tab_NatRes[[#This Row],[Spec targets / outcomes]])</f>
        <v>0</v>
      </c>
      <c r="S213" s="134">
        <f>COUNTA(Tab_NatRes[[#This Row],[Obligations]])</f>
        <v>0</v>
      </c>
      <c r="T213" s="134">
        <f t="shared" si="9"/>
        <v>0</v>
      </c>
      <c r="U213" s="134">
        <f t="shared" si="10"/>
        <v>0</v>
      </c>
      <c r="V213" s="209">
        <f>IF(Tab_NatRes[[#This Row],[Energy demand focus]]="Y",Tab_NatRes[[#This Row],[Category]],0)</f>
        <v>0</v>
      </c>
      <c r="W213" s="208">
        <f>IF(Tab_NatRes[[#This Row],[Energy demand focus]]="Y",Tab_NatRes[[#This Row],[Investment]],0)</f>
        <v>0</v>
      </c>
      <c r="X213" s="208">
        <f>IF(Tab_NatRes[[#This Row],[Energy demand focus]]="N",Tab_NatRes[[#This Row],[Investment]],0)</f>
        <v>0</v>
      </c>
    </row>
    <row r="214" spans="1:24" ht="30" x14ac:dyDescent="0.25">
      <c r="A214" s="78">
        <v>110</v>
      </c>
      <c r="B214" s="66"/>
      <c r="C214" s="68" t="s">
        <v>694</v>
      </c>
      <c r="D214" s="67" t="s">
        <v>405</v>
      </c>
      <c r="E214" s="67" t="s">
        <v>122</v>
      </c>
      <c r="F214" s="67" t="s">
        <v>1</v>
      </c>
      <c r="G214" s="67" t="s">
        <v>530</v>
      </c>
      <c r="H214" s="67" t="s">
        <v>403</v>
      </c>
      <c r="I214" s="66"/>
      <c r="J214" s="66"/>
      <c r="K214" s="66"/>
      <c r="L214" s="66" t="s">
        <v>335</v>
      </c>
      <c r="M214" s="66"/>
      <c r="N214" s="79"/>
      <c r="O214" s="134">
        <v>1</v>
      </c>
      <c r="P214" s="134">
        <f>COUNTA(Tab_NatRes[[#This Row],[Investment]])</f>
        <v>1</v>
      </c>
      <c r="Q214" s="134">
        <f>COUNTA(Tab_NatRes[[#This Row],[Lead department]])</f>
        <v>0</v>
      </c>
      <c r="R214" s="134">
        <f>COUNTA(Tab_NatRes[[#This Row],[Spec targets / outcomes]])</f>
        <v>0</v>
      </c>
      <c r="S214" s="134">
        <f>COUNTA(Tab_NatRes[[#This Row],[Obligations]])</f>
        <v>0</v>
      </c>
      <c r="T214" s="134">
        <f t="shared" si="9"/>
        <v>0</v>
      </c>
      <c r="U214" s="134">
        <f t="shared" si="10"/>
        <v>0</v>
      </c>
      <c r="V214" s="209">
        <f>IF(Tab_NatRes[[#This Row],[Energy demand focus]]="Y",Tab_NatRes[[#This Row],[Category]],0)</f>
        <v>0</v>
      </c>
      <c r="W214" s="208">
        <f>IF(Tab_NatRes[[#This Row],[Energy demand focus]]="Y",Tab_NatRes[[#This Row],[Investment]],0)</f>
        <v>0</v>
      </c>
      <c r="X214" s="208">
        <f>IF(Tab_NatRes[[#This Row],[Energy demand focus]]="N",Tab_NatRes[[#This Row],[Investment]],0)</f>
        <v>0</v>
      </c>
    </row>
    <row r="215" spans="1:24" x14ac:dyDescent="0.25">
      <c r="A215" s="78">
        <v>110</v>
      </c>
      <c r="B215" s="66"/>
      <c r="C215" s="68" t="s">
        <v>694</v>
      </c>
      <c r="D215" s="67" t="s">
        <v>404</v>
      </c>
      <c r="E215" s="67" t="s">
        <v>122</v>
      </c>
      <c r="F215" s="67" t="s">
        <v>1</v>
      </c>
      <c r="G215" s="67" t="s">
        <v>530</v>
      </c>
      <c r="H215" s="67" t="s">
        <v>406</v>
      </c>
      <c r="I215" s="66"/>
      <c r="J215" s="66"/>
      <c r="K215" s="66"/>
      <c r="L215" s="66" t="s">
        <v>335</v>
      </c>
      <c r="M215" s="66"/>
      <c r="N215" s="79"/>
      <c r="O215" s="134">
        <v>1</v>
      </c>
      <c r="P215" s="134">
        <f>COUNTA(Tab_NatRes[[#This Row],[Investment]])</f>
        <v>1</v>
      </c>
      <c r="Q215" s="134">
        <f>COUNTA(Tab_NatRes[[#This Row],[Lead department]])</f>
        <v>0</v>
      </c>
      <c r="R215" s="134">
        <f>COUNTA(Tab_NatRes[[#This Row],[Spec targets / outcomes]])</f>
        <v>0</v>
      </c>
      <c r="S215" s="134">
        <f>COUNTA(Tab_NatRes[[#This Row],[Obligations]])</f>
        <v>0</v>
      </c>
      <c r="T215" s="134">
        <f t="shared" si="9"/>
        <v>0</v>
      </c>
      <c r="U215" s="134">
        <f t="shared" si="10"/>
        <v>0</v>
      </c>
      <c r="V215" s="209">
        <f>IF(Tab_NatRes[[#This Row],[Energy demand focus]]="Y",Tab_NatRes[[#This Row],[Category]],0)</f>
        <v>0</v>
      </c>
      <c r="W215" s="208">
        <f>IF(Tab_NatRes[[#This Row],[Energy demand focus]]="Y",Tab_NatRes[[#This Row],[Investment]],0)</f>
        <v>0</v>
      </c>
      <c r="X215" s="208">
        <f>IF(Tab_NatRes[[#This Row],[Energy demand focus]]="N",Tab_NatRes[[#This Row],[Investment]],0)</f>
        <v>0</v>
      </c>
    </row>
    <row r="216" spans="1:24" x14ac:dyDescent="0.25">
      <c r="A216" s="78">
        <v>110</v>
      </c>
      <c r="B216" s="66"/>
      <c r="C216" s="68" t="s">
        <v>694</v>
      </c>
      <c r="D216" s="67" t="s">
        <v>407</v>
      </c>
      <c r="E216" s="67" t="s">
        <v>122</v>
      </c>
      <c r="F216" s="67" t="s">
        <v>1</v>
      </c>
      <c r="G216" s="67" t="s">
        <v>530</v>
      </c>
      <c r="H216" s="67" t="s">
        <v>408</v>
      </c>
      <c r="I216" s="66"/>
      <c r="J216" s="66"/>
      <c r="K216" s="66"/>
      <c r="L216" s="66" t="s">
        <v>335</v>
      </c>
      <c r="M216" s="66"/>
      <c r="N216" s="79"/>
      <c r="O216" s="134">
        <v>1</v>
      </c>
      <c r="P216" s="134">
        <f>COUNTA(Tab_NatRes[[#This Row],[Investment]])</f>
        <v>1</v>
      </c>
      <c r="Q216" s="134">
        <f>COUNTA(Tab_NatRes[[#This Row],[Lead department]])</f>
        <v>0</v>
      </c>
      <c r="R216" s="134">
        <f>COUNTA(Tab_NatRes[[#This Row],[Spec targets / outcomes]])</f>
        <v>0</v>
      </c>
      <c r="S216" s="134">
        <f>COUNTA(Tab_NatRes[[#This Row],[Obligations]])</f>
        <v>0</v>
      </c>
      <c r="T216" s="134">
        <f t="shared" si="9"/>
        <v>0</v>
      </c>
      <c r="U216" s="134">
        <f t="shared" si="10"/>
        <v>0</v>
      </c>
      <c r="V216" s="209">
        <f>IF(Tab_NatRes[[#This Row],[Energy demand focus]]="Y",Tab_NatRes[[#This Row],[Category]],0)</f>
        <v>0</v>
      </c>
      <c r="W216" s="208">
        <f>IF(Tab_NatRes[[#This Row],[Energy demand focus]]="Y",Tab_NatRes[[#This Row],[Investment]],0)</f>
        <v>0</v>
      </c>
      <c r="X216" s="208">
        <f>IF(Tab_NatRes[[#This Row],[Energy demand focus]]="N",Tab_NatRes[[#This Row],[Investment]],0)</f>
        <v>0</v>
      </c>
    </row>
    <row r="217" spans="1:24" ht="30" x14ac:dyDescent="0.25">
      <c r="A217" s="78">
        <v>110</v>
      </c>
      <c r="B217" s="66"/>
      <c r="C217" s="68" t="s">
        <v>694</v>
      </c>
      <c r="D217" s="67" t="s">
        <v>409</v>
      </c>
      <c r="E217" s="67" t="s">
        <v>410</v>
      </c>
      <c r="F217" s="67" t="s">
        <v>1</v>
      </c>
      <c r="G217" s="67"/>
      <c r="H217" s="67"/>
      <c r="I217" s="66"/>
      <c r="J217" s="66" t="s">
        <v>84</v>
      </c>
      <c r="K217" s="66"/>
      <c r="L217" s="66" t="s">
        <v>335</v>
      </c>
      <c r="M217" s="66"/>
      <c r="N217" s="79"/>
      <c r="O217" s="134">
        <v>0</v>
      </c>
      <c r="P217" s="134">
        <f>COUNTA(Tab_NatRes[[#This Row],[Investment]])</f>
        <v>0</v>
      </c>
      <c r="Q217" s="134">
        <f>COUNTA(Tab_NatRes[[#This Row],[Lead department]])</f>
        <v>0</v>
      </c>
      <c r="R217" s="134">
        <f>COUNTA(Tab_NatRes[[#This Row],[Spec targets / outcomes]])</f>
        <v>1</v>
      </c>
      <c r="S217" s="134">
        <f>COUNTA(Tab_NatRes[[#This Row],[Obligations]])</f>
        <v>0</v>
      </c>
      <c r="T217" s="134">
        <f t="shared" si="9"/>
        <v>0</v>
      </c>
      <c r="U217" s="134">
        <f t="shared" si="10"/>
        <v>0</v>
      </c>
      <c r="V217" s="209">
        <f>IF(Tab_NatRes[[#This Row],[Energy demand focus]]="Y",Tab_NatRes[[#This Row],[Category]],0)</f>
        <v>0</v>
      </c>
      <c r="W217" s="208">
        <f>IF(Tab_NatRes[[#This Row],[Energy demand focus]]="Y",Tab_NatRes[[#This Row],[Investment]],0)</f>
        <v>0</v>
      </c>
      <c r="X217" s="208">
        <f>IF(Tab_NatRes[[#This Row],[Energy demand focus]]="N",Tab_NatRes[[#This Row],[Investment]],0)</f>
        <v>0</v>
      </c>
    </row>
    <row r="218" spans="1:24" ht="30" x14ac:dyDescent="0.25">
      <c r="A218" s="78">
        <v>110</v>
      </c>
      <c r="B218" s="66"/>
      <c r="C218" s="68" t="s">
        <v>694</v>
      </c>
      <c r="D218" s="67" t="s">
        <v>411</v>
      </c>
      <c r="E218" s="67" t="s">
        <v>122</v>
      </c>
      <c r="F218" s="67" t="s">
        <v>1</v>
      </c>
      <c r="G218" s="67" t="s">
        <v>261</v>
      </c>
      <c r="H218" s="67" t="s">
        <v>412</v>
      </c>
      <c r="I218" s="66"/>
      <c r="J218" s="66"/>
      <c r="K218" s="66"/>
      <c r="L218" s="66" t="s">
        <v>335</v>
      </c>
      <c r="M218" s="66"/>
      <c r="N218" s="79"/>
      <c r="O218" s="134">
        <v>1</v>
      </c>
      <c r="P218" s="134">
        <f>COUNTA(Tab_NatRes[[#This Row],[Investment]])</f>
        <v>1</v>
      </c>
      <c r="Q218" s="134">
        <f>COUNTA(Tab_NatRes[[#This Row],[Lead department]])</f>
        <v>0</v>
      </c>
      <c r="R218" s="134">
        <f>COUNTA(Tab_NatRes[[#This Row],[Spec targets / outcomes]])</f>
        <v>0</v>
      </c>
      <c r="S218" s="134">
        <f>COUNTA(Tab_NatRes[[#This Row],[Obligations]])</f>
        <v>0</v>
      </c>
      <c r="T218" s="134">
        <f t="shared" si="9"/>
        <v>0</v>
      </c>
      <c r="U218" s="134">
        <f t="shared" si="10"/>
        <v>0</v>
      </c>
      <c r="V218" s="209">
        <f>IF(Tab_NatRes[[#This Row],[Energy demand focus]]="Y",Tab_NatRes[[#This Row],[Category]],0)</f>
        <v>0</v>
      </c>
      <c r="W218" s="208">
        <f>IF(Tab_NatRes[[#This Row],[Energy demand focus]]="Y",Tab_NatRes[[#This Row],[Investment]],0)</f>
        <v>0</v>
      </c>
      <c r="X218" s="208">
        <f>IF(Tab_NatRes[[#This Row],[Energy demand focus]]="N",Tab_NatRes[[#This Row],[Investment]],0)</f>
        <v>0</v>
      </c>
    </row>
    <row r="219" spans="1:24" ht="30" x14ac:dyDescent="0.25">
      <c r="A219" s="78">
        <v>110</v>
      </c>
      <c r="B219" s="66"/>
      <c r="C219" s="68" t="s">
        <v>694</v>
      </c>
      <c r="D219" s="67" t="s">
        <v>413</v>
      </c>
      <c r="E219" s="67" t="s">
        <v>410</v>
      </c>
      <c r="F219" s="67" t="s">
        <v>1</v>
      </c>
      <c r="G219" s="67"/>
      <c r="H219" s="67"/>
      <c r="I219" s="66"/>
      <c r="J219" s="66" t="s">
        <v>718</v>
      </c>
      <c r="K219" s="66"/>
      <c r="L219" s="66" t="s">
        <v>335</v>
      </c>
      <c r="M219" s="66"/>
      <c r="N219" s="79"/>
      <c r="O219" s="134">
        <v>0</v>
      </c>
      <c r="P219" s="134">
        <f>COUNTA(Tab_NatRes[[#This Row],[Investment]])</f>
        <v>0</v>
      </c>
      <c r="Q219" s="134">
        <f>COUNTA(Tab_NatRes[[#This Row],[Lead department]])</f>
        <v>0</v>
      </c>
      <c r="R219" s="134">
        <f>COUNTA(Tab_NatRes[[#This Row],[Spec targets / outcomes]])</f>
        <v>1</v>
      </c>
      <c r="S219" s="134">
        <f>COUNTA(Tab_NatRes[[#This Row],[Obligations]])</f>
        <v>0</v>
      </c>
      <c r="T219" s="134">
        <f t="shared" si="9"/>
        <v>0</v>
      </c>
      <c r="U219" s="134">
        <f t="shared" si="10"/>
        <v>0</v>
      </c>
      <c r="V219" s="209">
        <f>IF(Tab_NatRes[[#This Row],[Energy demand focus]]="Y",Tab_NatRes[[#This Row],[Category]],0)</f>
        <v>0</v>
      </c>
      <c r="W219" s="208">
        <f>IF(Tab_NatRes[[#This Row],[Energy demand focus]]="Y",Tab_NatRes[[#This Row],[Investment]],0)</f>
        <v>0</v>
      </c>
      <c r="X219" s="208">
        <f>IF(Tab_NatRes[[#This Row],[Energy demand focus]]="N",Tab_NatRes[[#This Row],[Investment]],0)</f>
        <v>0</v>
      </c>
    </row>
    <row r="220" spans="1:24" ht="45" x14ac:dyDescent="0.25">
      <c r="A220" s="78">
        <v>111</v>
      </c>
      <c r="B220" s="66"/>
      <c r="C220" s="68" t="s">
        <v>694</v>
      </c>
      <c r="D220" s="67" t="s">
        <v>775</v>
      </c>
      <c r="E220" s="67" t="s">
        <v>410</v>
      </c>
      <c r="F220" s="67" t="s">
        <v>1</v>
      </c>
      <c r="G220" s="67"/>
      <c r="H220" s="67"/>
      <c r="I220" s="66"/>
      <c r="J220" s="66" t="s">
        <v>717</v>
      </c>
      <c r="K220" s="66"/>
      <c r="L220" s="66" t="s">
        <v>335</v>
      </c>
      <c r="M220" s="66"/>
      <c r="N220" s="79"/>
      <c r="O220" s="134">
        <v>0</v>
      </c>
      <c r="P220" s="134">
        <f>COUNTA(Tab_NatRes[[#This Row],[Investment]])</f>
        <v>0</v>
      </c>
      <c r="Q220" s="134">
        <f>COUNTA(Tab_NatRes[[#This Row],[Lead department]])</f>
        <v>0</v>
      </c>
      <c r="R220" s="134">
        <f>COUNTA(Tab_NatRes[[#This Row],[Spec targets / outcomes]])</f>
        <v>1</v>
      </c>
      <c r="S220" s="134">
        <f>COUNTA(Tab_NatRes[[#This Row],[Obligations]])</f>
        <v>0</v>
      </c>
      <c r="T220" s="134">
        <f t="shared" si="9"/>
        <v>0</v>
      </c>
      <c r="U220" s="134">
        <f t="shared" si="10"/>
        <v>0</v>
      </c>
      <c r="V220" s="209">
        <f>IF(Tab_NatRes[[#This Row],[Energy demand focus]]="Y",Tab_NatRes[[#This Row],[Category]],0)</f>
        <v>0</v>
      </c>
      <c r="W220" s="208">
        <f>IF(Tab_NatRes[[#This Row],[Energy demand focus]]="Y",Tab_NatRes[[#This Row],[Investment]],0)</f>
        <v>0</v>
      </c>
      <c r="X220" s="208">
        <f>IF(Tab_NatRes[[#This Row],[Energy demand focus]]="N",Tab_NatRes[[#This Row],[Investment]],0)</f>
        <v>0</v>
      </c>
    </row>
    <row r="221" spans="1:24" ht="30" x14ac:dyDescent="0.25">
      <c r="A221" s="78">
        <v>111</v>
      </c>
      <c r="B221" s="66"/>
      <c r="C221" s="68" t="s">
        <v>694</v>
      </c>
      <c r="D221" s="67" t="s">
        <v>414</v>
      </c>
      <c r="E221" s="67" t="s">
        <v>410</v>
      </c>
      <c r="F221" s="67" t="s">
        <v>1</v>
      </c>
      <c r="G221" s="67"/>
      <c r="H221" s="67"/>
      <c r="I221" s="66"/>
      <c r="J221" s="66"/>
      <c r="K221" s="66"/>
      <c r="L221" s="66" t="s">
        <v>67</v>
      </c>
      <c r="M221" s="66"/>
      <c r="N221" s="79"/>
      <c r="O221" s="134">
        <v>0</v>
      </c>
      <c r="P221" s="134">
        <f>COUNTA(Tab_NatRes[[#This Row],[Investment]])</f>
        <v>0</v>
      </c>
      <c r="Q221" s="134">
        <f>COUNTA(Tab_NatRes[[#This Row],[Lead department]])</f>
        <v>0</v>
      </c>
      <c r="R221" s="134">
        <f>COUNTA(Tab_NatRes[[#This Row],[Spec targets / outcomes]])</f>
        <v>0</v>
      </c>
      <c r="S221" s="134">
        <f>COUNTA(Tab_NatRes[[#This Row],[Obligations]])</f>
        <v>0</v>
      </c>
      <c r="T221" s="134">
        <f t="shared" si="9"/>
        <v>0</v>
      </c>
      <c r="U221" s="134">
        <f t="shared" si="10"/>
        <v>1</v>
      </c>
      <c r="V221" s="209">
        <f>IF(Tab_NatRes[[#This Row],[Energy demand focus]]="Y",Tab_NatRes[[#This Row],[Category]],0)</f>
        <v>0</v>
      </c>
      <c r="W221" s="208">
        <f>IF(Tab_NatRes[[#This Row],[Energy demand focus]]="Y",Tab_NatRes[[#This Row],[Investment]],0)</f>
        <v>0</v>
      </c>
      <c r="X221" s="208">
        <f>IF(Tab_NatRes[[#This Row],[Energy demand focus]]="N",Tab_NatRes[[#This Row],[Investment]],0)</f>
        <v>0</v>
      </c>
    </row>
    <row r="222" spans="1:24" ht="45" x14ac:dyDescent="0.25">
      <c r="A222" s="78">
        <v>111</v>
      </c>
      <c r="B222" s="66"/>
      <c r="C222" s="68" t="s">
        <v>694</v>
      </c>
      <c r="D222" s="67" t="s">
        <v>415</v>
      </c>
      <c r="E222" s="67" t="s">
        <v>410</v>
      </c>
      <c r="F222" s="67" t="s">
        <v>1</v>
      </c>
      <c r="G222" s="67"/>
      <c r="H222" s="67"/>
      <c r="I222" s="66"/>
      <c r="J222" s="66" t="s">
        <v>717</v>
      </c>
      <c r="K222" s="66" t="s">
        <v>720</v>
      </c>
      <c r="L222" s="66" t="s">
        <v>67</v>
      </c>
      <c r="M222" s="66"/>
      <c r="N222" s="79"/>
      <c r="O222" s="134">
        <v>0</v>
      </c>
      <c r="P222" s="134">
        <f>COUNTA(Tab_NatRes[[#This Row],[Investment]])</f>
        <v>0</v>
      </c>
      <c r="Q222" s="134">
        <f>COUNTA(Tab_NatRes[[#This Row],[Lead department]])</f>
        <v>0</v>
      </c>
      <c r="R222" s="134">
        <f>COUNTA(Tab_NatRes[[#This Row],[Spec targets / outcomes]])</f>
        <v>1</v>
      </c>
      <c r="S222" s="134">
        <f>COUNTA(Tab_NatRes[[#This Row],[Obligations]])</f>
        <v>1</v>
      </c>
      <c r="T222" s="134">
        <f t="shared" si="9"/>
        <v>0</v>
      </c>
      <c r="U222" s="134">
        <f t="shared" si="10"/>
        <v>1</v>
      </c>
      <c r="V222" s="209">
        <f>IF(Tab_NatRes[[#This Row],[Energy demand focus]]="Y",Tab_NatRes[[#This Row],[Category]],0)</f>
        <v>0</v>
      </c>
      <c r="W222" s="208">
        <f>IF(Tab_NatRes[[#This Row],[Energy demand focus]]="Y",Tab_NatRes[[#This Row],[Investment]],0)</f>
        <v>0</v>
      </c>
      <c r="X222" s="208">
        <f>IF(Tab_NatRes[[#This Row],[Energy demand focus]]="N",Tab_NatRes[[#This Row],[Investment]],0)</f>
        <v>0</v>
      </c>
    </row>
    <row r="223" spans="1:24" ht="45" x14ac:dyDescent="0.25">
      <c r="A223" s="78">
        <v>111</v>
      </c>
      <c r="B223" s="66"/>
      <c r="C223" s="68" t="s">
        <v>694</v>
      </c>
      <c r="D223" s="67" t="s">
        <v>416</v>
      </c>
      <c r="E223" s="67" t="s">
        <v>126</v>
      </c>
      <c r="F223" s="67" t="s">
        <v>784</v>
      </c>
      <c r="G223" s="67"/>
      <c r="H223" s="67"/>
      <c r="I223" s="66"/>
      <c r="J223" s="66" t="s">
        <v>718</v>
      </c>
      <c r="K223" s="66"/>
      <c r="L223" s="66" t="s">
        <v>335</v>
      </c>
      <c r="M223" s="66"/>
      <c r="N223" s="79"/>
      <c r="O223" s="134">
        <v>0</v>
      </c>
      <c r="P223" s="134">
        <f>COUNTA(Tab_NatRes[[#This Row],[Investment]])</f>
        <v>0</v>
      </c>
      <c r="Q223" s="134">
        <f>COUNTA(Tab_NatRes[[#This Row],[Lead department]])</f>
        <v>0</v>
      </c>
      <c r="R223" s="134">
        <f>COUNTA(Tab_NatRes[[#This Row],[Spec targets / outcomes]])</f>
        <v>1</v>
      </c>
      <c r="S223" s="134">
        <f>COUNTA(Tab_NatRes[[#This Row],[Obligations]])</f>
        <v>0</v>
      </c>
      <c r="T223" s="134">
        <f t="shared" si="9"/>
        <v>0</v>
      </c>
      <c r="U223" s="134">
        <f t="shared" si="10"/>
        <v>0</v>
      </c>
      <c r="V223" s="209">
        <f>IF(Tab_NatRes[[#This Row],[Energy demand focus]]="Y",Tab_NatRes[[#This Row],[Category]],0)</f>
        <v>0</v>
      </c>
      <c r="W223" s="208">
        <f>IF(Tab_NatRes[[#This Row],[Energy demand focus]]="Y",Tab_NatRes[[#This Row],[Investment]],0)</f>
        <v>0</v>
      </c>
      <c r="X223" s="208">
        <f>IF(Tab_NatRes[[#This Row],[Energy demand focus]]="N",Tab_NatRes[[#This Row],[Investment]],0)</f>
        <v>0</v>
      </c>
    </row>
    <row r="224" spans="1:24" ht="30" x14ac:dyDescent="0.25">
      <c r="A224" s="78">
        <v>111</v>
      </c>
      <c r="B224" s="66"/>
      <c r="C224" s="68" t="s">
        <v>694</v>
      </c>
      <c r="D224" s="67" t="s">
        <v>417</v>
      </c>
      <c r="E224" s="67" t="s">
        <v>122</v>
      </c>
      <c r="F224" s="67" t="s">
        <v>1</v>
      </c>
      <c r="G224" s="67"/>
      <c r="H224" s="67" t="s">
        <v>418</v>
      </c>
      <c r="I224" s="66"/>
      <c r="J224" s="66" t="s">
        <v>717</v>
      </c>
      <c r="K224" s="66"/>
      <c r="L224" s="66" t="s">
        <v>335</v>
      </c>
      <c r="M224" s="66"/>
      <c r="N224" s="79"/>
      <c r="O224" s="134">
        <v>0</v>
      </c>
      <c r="P224" s="134">
        <f>COUNTA(Tab_NatRes[[#This Row],[Investment]])</f>
        <v>1</v>
      </c>
      <c r="Q224" s="134">
        <f>COUNTA(Tab_NatRes[[#This Row],[Lead department]])</f>
        <v>0</v>
      </c>
      <c r="R224" s="134">
        <f>COUNTA(Tab_NatRes[[#This Row],[Spec targets / outcomes]])</f>
        <v>1</v>
      </c>
      <c r="S224" s="134">
        <f>COUNTA(Tab_NatRes[[#This Row],[Obligations]])</f>
        <v>0</v>
      </c>
      <c r="T224" s="134">
        <f t="shared" si="9"/>
        <v>0</v>
      </c>
      <c r="U224" s="134">
        <f t="shared" si="10"/>
        <v>0</v>
      </c>
      <c r="V224" s="209">
        <f>IF(Tab_NatRes[[#This Row],[Energy demand focus]]="Y",Tab_NatRes[[#This Row],[Category]],0)</f>
        <v>0</v>
      </c>
      <c r="W224" s="208">
        <f>IF(Tab_NatRes[[#This Row],[Energy demand focus]]="Y",Tab_NatRes[[#This Row],[Investment]],0)</f>
        <v>0</v>
      </c>
      <c r="X224" s="208">
        <f>IF(Tab_NatRes[[#This Row],[Energy demand focus]]="N",Tab_NatRes[[#This Row],[Investment]],0)</f>
        <v>0</v>
      </c>
    </row>
    <row r="225" spans="1:27" ht="45" x14ac:dyDescent="0.25">
      <c r="A225" s="78">
        <v>111</v>
      </c>
      <c r="B225" s="66"/>
      <c r="C225" s="68" t="s">
        <v>694</v>
      </c>
      <c r="D225" s="67" t="s">
        <v>419</v>
      </c>
      <c r="E225" s="67" t="s">
        <v>410</v>
      </c>
      <c r="F225" s="67" t="s">
        <v>1</v>
      </c>
      <c r="G225" s="67"/>
      <c r="H225" s="67"/>
      <c r="I225" s="66"/>
      <c r="J225" s="66" t="s">
        <v>718</v>
      </c>
      <c r="K225" s="66" t="s">
        <v>720</v>
      </c>
      <c r="L225" s="66" t="s">
        <v>335</v>
      </c>
      <c r="M225" s="66"/>
      <c r="N225" s="79"/>
      <c r="O225" s="134">
        <v>0</v>
      </c>
      <c r="P225" s="134">
        <f>COUNTA(Tab_NatRes[[#This Row],[Investment]])</f>
        <v>0</v>
      </c>
      <c r="Q225" s="134">
        <f>COUNTA(Tab_NatRes[[#This Row],[Lead department]])</f>
        <v>0</v>
      </c>
      <c r="R225" s="134">
        <f>COUNTA(Tab_NatRes[[#This Row],[Spec targets / outcomes]])</f>
        <v>1</v>
      </c>
      <c r="S225" s="134">
        <f>COUNTA(Tab_NatRes[[#This Row],[Obligations]])</f>
        <v>1</v>
      </c>
      <c r="T225" s="134">
        <f t="shared" si="9"/>
        <v>0</v>
      </c>
      <c r="U225" s="134">
        <f t="shared" si="10"/>
        <v>0</v>
      </c>
      <c r="V225" s="209">
        <f>IF(Tab_NatRes[[#This Row],[Energy demand focus]]="Y",Tab_NatRes[[#This Row],[Category]],0)</f>
        <v>0</v>
      </c>
      <c r="W225" s="208">
        <f>IF(Tab_NatRes[[#This Row],[Energy demand focus]]="Y",Tab_NatRes[[#This Row],[Investment]],0)</f>
        <v>0</v>
      </c>
      <c r="X225" s="208">
        <f>IF(Tab_NatRes[[#This Row],[Energy demand focus]]="N",Tab_NatRes[[#This Row],[Investment]],0)</f>
        <v>0</v>
      </c>
    </row>
    <row r="226" spans="1:27" ht="30" x14ac:dyDescent="0.25">
      <c r="A226" s="78">
        <v>111</v>
      </c>
      <c r="B226" s="66"/>
      <c r="C226" s="68" t="s">
        <v>694</v>
      </c>
      <c r="D226" s="67" t="s">
        <v>420</v>
      </c>
      <c r="E226" s="67" t="s">
        <v>410</v>
      </c>
      <c r="F226" s="67" t="s">
        <v>1</v>
      </c>
      <c r="G226" s="67"/>
      <c r="H226" s="67"/>
      <c r="I226" s="66"/>
      <c r="J226" s="66" t="s">
        <v>718</v>
      </c>
      <c r="K226" s="66" t="s">
        <v>720</v>
      </c>
      <c r="L226" s="66" t="s">
        <v>335</v>
      </c>
      <c r="M226" s="66"/>
      <c r="N226" s="79"/>
      <c r="O226" s="134">
        <v>0</v>
      </c>
      <c r="P226" s="134">
        <f>COUNTA(Tab_NatRes[[#This Row],[Investment]])</f>
        <v>0</v>
      </c>
      <c r="Q226" s="134">
        <f>COUNTA(Tab_NatRes[[#This Row],[Lead department]])</f>
        <v>0</v>
      </c>
      <c r="R226" s="134">
        <f>COUNTA(Tab_NatRes[[#This Row],[Spec targets / outcomes]])</f>
        <v>1</v>
      </c>
      <c r="S226" s="134">
        <f>COUNTA(Tab_NatRes[[#This Row],[Obligations]])</f>
        <v>1</v>
      </c>
      <c r="T226" s="134">
        <f t="shared" si="9"/>
        <v>0</v>
      </c>
      <c r="U226" s="134">
        <f t="shared" si="10"/>
        <v>0</v>
      </c>
      <c r="V226" s="209">
        <f>IF(Tab_NatRes[[#This Row],[Energy demand focus]]="Y",Tab_NatRes[[#This Row],[Category]],0)</f>
        <v>0</v>
      </c>
      <c r="W226" s="208">
        <f>IF(Tab_NatRes[[#This Row],[Energy demand focus]]="Y",Tab_NatRes[[#This Row],[Investment]],0)</f>
        <v>0</v>
      </c>
      <c r="X226" s="208">
        <f>IF(Tab_NatRes[[#This Row],[Energy demand focus]]="N",Tab_NatRes[[#This Row],[Investment]],0)</f>
        <v>0</v>
      </c>
    </row>
    <row r="227" spans="1:27" x14ac:dyDescent="0.25">
      <c r="A227" s="78">
        <v>111</v>
      </c>
      <c r="B227" s="66"/>
      <c r="C227" s="68" t="s">
        <v>694</v>
      </c>
      <c r="D227" s="67" t="s">
        <v>421</v>
      </c>
      <c r="E227" s="67" t="s">
        <v>410</v>
      </c>
      <c r="F227" s="67" t="s">
        <v>1</v>
      </c>
      <c r="G227" s="67" t="s">
        <v>658</v>
      </c>
      <c r="H227" s="67"/>
      <c r="I227" s="126"/>
      <c r="J227" s="126" t="s">
        <v>718</v>
      </c>
      <c r="K227" s="126"/>
      <c r="L227" s="66" t="s">
        <v>67</v>
      </c>
      <c r="M227" s="66"/>
      <c r="N227" s="79"/>
      <c r="O227" s="134">
        <v>0</v>
      </c>
      <c r="P227" s="134">
        <f>COUNTA(Tab_NatRes[[#This Row],[Investment]])</f>
        <v>0</v>
      </c>
      <c r="Q227" s="134">
        <f>COUNTA(Tab_NatRes[[#This Row],[Lead department]])</f>
        <v>0</v>
      </c>
      <c r="R227" s="134">
        <f>COUNTA(Tab_NatRes[[#This Row],[Spec targets / outcomes]])</f>
        <v>1</v>
      </c>
      <c r="S227" s="134">
        <f>COUNTA(Tab_NatRes[[#This Row],[Obligations]])</f>
        <v>0</v>
      </c>
      <c r="T227" s="134">
        <f t="shared" si="9"/>
        <v>0</v>
      </c>
      <c r="U227" s="134">
        <f t="shared" si="10"/>
        <v>1</v>
      </c>
      <c r="V227" s="209">
        <f>IF(Tab_NatRes[[#This Row],[Energy demand focus]]="Y",Tab_NatRes[[#This Row],[Category]],0)</f>
        <v>0</v>
      </c>
      <c r="W227" s="208">
        <f>IF(Tab_NatRes[[#This Row],[Energy demand focus]]="Y",Tab_NatRes[[#This Row],[Investment]],0)</f>
        <v>0</v>
      </c>
      <c r="X227" s="208">
        <f>IF(Tab_NatRes[[#This Row],[Energy demand focus]]="N",Tab_NatRes[[#This Row],[Investment]],0)</f>
        <v>0</v>
      </c>
    </row>
    <row r="228" spans="1:27" ht="30" x14ac:dyDescent="0.25">
      <c r="A228" s="78">
        <v>112</v>
      </c>
      <c r="B228" s="66"/>
      <c r="C228" s="68" t="s">
        <v>694</v>
      </c>
      <c r="D228" s="67" t="s">
        <v>552</v>
      </c>
      <c r="E228" s="67" t="s">
        <v>550</v>
      </c>
      <c r="F228" s="67" t="s">
        <v>785</v>
      </c>
      <c r="G228" s="67" t="s">
        <v>551</v>
      </c>
      <c r="H228" s="67"/>
      <c r="I228" s="126"/>
      <c r="J228" s="126" t="s">
        <v>84</v>
      </c>
      <c r="K228" s="126" t="s">
        <v>84</v>
      </c>
      <c r="L228" s="66" t="s">
        <v>68</v>
      </c>
      <c r="M228" s="66"/>
      <c r="N228" s="79"/>
      <c r="O228" s="134">
        <v>1</v>
      </c>
      <c r="P228" s="134">
        <f>COUNTA(Tab_NatRes[[#This Row],[Investment]])</f>
        <v>0</v>
      </c>
      <c r="Q228" s="134">
        <f>COUNTA(Tab_NatRes[[#This Row],[Lead department]])</f>
        <v>0</v>
      </c>
      <c r="R228" s="134">
        <f>COUNTA(Tab_NatRes[[#This Row],[Spec targets / outcomes]])</f>
        <v>1</v>
      </c>
      <c r="S228" s="134">
        <f>COUNTA(Tab_NatRes[[#This Row],[Obligations]])</f>
        <v>1</v>
      </c>
      <c r="T228" s="134">
        <f t="shared" si="9"/>
        <v>0</v>
      </c>
      <c r="U228" s="134">
        <f t="shared" si="10"/>
        <v>0</v>
      </c>
      <c r="V228" s="209">
        <f>IF(Tab_NatRes[[#This Row],[Energy demand focus]]="Y",Tab_NatRes[[#This Row],[Category]],0)</f>
        <v>0</v>
      </c>
      <c r="W228" s="208">
        <f>IF(Tab_NatRes[[#This Row],[Energy demand focus]]="Y",Tab_NatRes[[#This Row],[Investment]],0)</f>
        <v>0</v>
      </c>
      <c r="X228" s="208">
        <f>IF(Tab_NatRes[[#This Row],[Energy demand focus]]="N",Tab_NatRes[[#This Row],[Investment]],0)</f>
        <v>0</v>
      </c>
    </row>
    <row r="229" spans="1:27" x14ac:dyDescent="0.25">
      <c r="A229" s="80">
        <v>136</v>
      </c>
      <c r="B229" s="70"/>
      <c r="C229" s="68" t="s">
        <v>694</v>
      </c>
      <c r="D229" s="71" t="s">
        <v>648</v>
      </c>
      <c r="E229" s="71" t="s">
        <v>122</v>
      </c>
      <c r="F229" s="67" t="s">
        <v>1</v>
      </c>
      <c r="G229" s="71" t="s">
        <v>649</v>
      </c>
      <c r="H229" s="71" t="s">
        <v>650</v>
      </c>
      <c r="I229" s="70"/>
      <c r="J229" s="70"/>
      <c r="K229" s="70"/>
      <c r="L229" s="70" t="s">
        <v>14</v>
      </c>
      <c r="M229" s="70"/>
      <c r="N229" s="81"/>
      <c r="O229" s="135">
        <v>1</v>
      </c>
      <c r="P229" s="134">
        <f>COUNTA(Tab_NatRes[[#This Row],[Investment]])</f>
        <v>1</v>
      </c>
      <c r="Q229" s="134">
        <f>COUNTA(Tab_NatRes[[#This Row],[Lead department]])</f>
        <v>0</v>
      </c>
      <c r="R229" s="134">
        <f>COUNTA(Tab_NatRes[[#This Row],[Spec targets / outcomes]])</f>
        <v>0</v>
      </c>
      <c r="S229" s="134">
        <f>COUNTA(Tab_NatRes[[#This Row],[Obligations]])</f>
        <v>0</v>
      </c>
      <c r="T229" s="135">
        <f t="shared" si="9"/>
        <v>0</v>
      </c>
      <c r="U229" s="135">
        <f t="shared" si="10"/>
        <v>0</v>
      </c>
      <c r="V229" s="209">
        <f>IF(Tab_NatRes[[#This Row],[Energy demand focus]]="Y",Tab_NatRes[[#This Row],[Category]],0)</f>
        <v>0</v>
      </c>
      <c r="W229" s="210">
        <f>IF(Tab_NatRes[[#This Row],[Energy demand focus]]="Y",Tab_NatRes[[#This Row],[Investment]],0)</f>
        <v>0</v>
      </c>
      <c r="X229" s="210">
        <f>IF(Tab_NatRes[[#This Row],[Energy demand focus]]="N",Tab_NatRes[[#This Row],[Investment]],0)</f>
        <v>0</v>
      </c>
    </row>
    <row r="230" spans="1:27" x14ac:dyDescent="0.25">
      <c r="M230"/>
      <c r="O230" s="315" t="s">
        <v>826</v>
      </c>
      <c r="P230" s="315"/>
      <c r="Q230" s="315"/>
      <c r="R230" s="315"/>
      <c r="S230" s="315"/>
      <c r="T230" s="315"/>
      <c r="U230" s="315"/>
      <c r="V230" s="315"/>
      <c r="W230" s="315" t="s">
        <v>825</v>
      </c>
      <c r="X230" s="315"/>
    </row>
    <row r="231" spans="1:27" x14ac:dyDescent="0.25">
      <c r="O231" s="171">
        <f>SUM(Tab_NatRes[Time])</f>
        <v>25</v>
      </c>
      <c r="P231" s="171">
        <f>SUM(Tab_NatRes[Inv])</f>
        <v>11</v>
      </c>
      <c r="Q231" s="171">
        <f>SUM(Tab_NatRes[Dep])</f>
        <v>12</v>
      </c>
      <c r="R231" s="171">
        <f>SUM(Tab_NatRes[Targ])</f>
        <v>27</v>
      </c>
      <c r="S231" s="171">
        <f>SUM(Tab_NatRes[Obl])</f>
        <v>15</v>
      </c>
      <c r="T231" s="171">
        <f>SUM(Tab_NatRes[Dem-yes])</f>
        <v>0</v>
      </c>
      <c r="U231" s="171">
        <f>SUM(Tab_NatRes[Dem-no])</f>
        <v>17</v>
      </c>
      <c r="W231" s="171"/>
      <c r="X231" s="171"/>
      <c r="Y231" s="171"/>
    </row>
    <row r="232" spans="1:27" ht="18.75" x14ac:dyDescent="0.3">
      <c r="A232" s="125"/>
      <c r="B232" s="116"/>
      <c r="C232" s="115"/>
      <c r="D232" s="20"/>
      <c r="E232" s="53"/>
      <c r="F232" s="20"/>
      <c r="G232" s="20"/>
      <c r="H232" s="53"/>
      <c r="I232" s="56"/>
      <c r="J232" s="56"/>
      <c r="P232" s="105"/>
      <c r="Q232" s="105"/>
      <c r="R232" s="105"/>
      <c r="S232" s="21"/>
      <c r="T232" s="20"/>
      <c r="V232" s="20"/>
    </row>
    <row r="233" spans="1:27" x14ac:dyDescent="0.25">
      <c r="A233" s="53"/>
      <c r="B233" s="53"/>
      <c r="C233" s="56"/>
      <c r="D233" s="20"/>
      <c r="E233" s="53"/>
      <c r="F233" s="20"/>
      <c r="G233" s="20"/>
      <c r="H233" s="53"/>
      <c r="I233" s="56"/>
      <c r="P233" s="105"/>
      <c r="Q233" s="105"/>
      <c r="R233" s="105"/>
      <c r="S233" s="21"/>
      <c r="T233" s="20"/>
      <c r="V233" s="20"/>
    </row>
    <row r="234" spans="1:27" ht="21" x14ac:dyDescent="0.35">
      <c r="A234" s="90" t="s">
        <v>423</v>
      </c>
      <c r="P234" s="105"/>
      <c r="Q234" s="105"/>
      <c r="R234" s="105"/>
      <c r="S234" s="21"/>
      <c r="T234" s="20"/>
      <c r="V234" s="20"/>
    </row>
    <row r="235" spans="1:27" ht="18.75" x14ac:dyDescent="0.3">
      <c r="A235" s="91" t="s">
        <v>424</v>
      </c>
      <c r="P235" s="105"/>
      <c r="Q235" s="105"/>
      <c r="R235" s="105"/>
      <c r="S235" s="21"/>
      <c r="T235" s="20"/>
      <c r="V235" s="20"/>
    </row>
    <row r="236" spans="1:27" s="20" customFormat="1" ht="18.75" x14ac:dyDescent="0.3">
      <c r="A236" s="125"/>
      <c r="B236" s="116"/>
      <c r="C236" s="115"/>
      <c r="E236" s="53"/>
      <c r="H236" s="53"/>
      <c r="I236" s="56"/>
      <c r="J236" s="56"/>
      <c r="L236" s="128"/>
      <c r="M236" s="103"/>
      <c r="N236" s="22"/>
      <c r="O236" s="22"/>
      <c r="P236" s="103"/>
      <c r="Q236" s="103"/>
      <c r="R236" s="103"/>
      <c r="S236" s="103"/>
      <c r="T236" s="117"/>
      <c r="Z236"/>
      <c r="AA236"/>
    </row>
    <row r="237" spans="1:27" ht="45" x14ac:dyDescent="0.25">
      <c r="A237" s="92" t="s">
        <v>2</v>
      </c>
      <c r="B237" s="92" t="s">
        <v>701</v>
      </c>
      <c r="C237" s="94" t="s">
        <v>681</v>
      </c>
      <c r="D237" s="93" t="s">
        <v>7</v>
      </c>
      <c r="E237" s="93" t="s">
        <v>8</v>
      </c>
      <c r="F237" s="93" t="s">
        <v>713</v>
      </c>
      <c r="G237" s="93" t="s">
        <v>4</v>
      </c>
      <c r="H237" s="93" t="s">
        <v>1</v>
      </c>
      <c r="I237" s="92" t="s">
        <v>558</v>
      </c>
      <c r="J237" s="92" t="s">
        <v>714</v>
      </c>
      <c r="K237" s="92" t="s">
        <v>709</v>
      </c>
      <c r="L237" s="92" t="s">
        <v>66</v>
      </c>
      <c r="M237" s="92" t="s">
        <v>157</v>
      </c>
      <c r="N237" s="94" t="s">
        <v>3</v>
      </c>
      <c r="O237" s="94" t="s">
        <v>704</v>
      </c>
      <c r="P237" s="94" t="s">
        <v>705</v>
      </c>
      <c r="Q237" s="94" t="s">
        <v>706</v>
      </c>
      <c r="R237" s="94" t="s">
        <v>710</v>
      </c>
      <c r="S237" s="94" t="s">
        <v>711</v>
      </c>
      <c r="T237" s="94" t="s">
        <v>707</v>
      </c>
      <c r="U237" s="94" t="s">
        <v>708</v>
      </c>
      <c r="V237" s="214" t="s">
        <v>797</v>
      </c>
      <c r="W237" s="214" t="s">
        <v>860</v>
      </c>
      <c r="X237" s="214" t="s">
        <v>861</v>
      </c>
    </row>
    <row r="238" spans="1:27" ht="60" x14ac:dyDescent="0.25">
      <c r="A238" s="78">
        <v>117</v>
      </c>
      <c r="B238" s="66" t="s">
        <v>140</v>
      </c>
      <c r="C238" s="68" t="s">
        <v>699</v>
      </c>
      <c r="D238" s="67" t="s">
        <v>553</v>
      </c>
      <c r="E238" s="67" t="s">
        <v>426</v>
      </c>
      <c r="F238" s="67" t="s">
        <v>719</v>
      </c>
      <c r="G238" s="67" t="s">
        <v>557</v>
      </c>
      <c r="H238" s="67"/>
      <c r="I238" s="66" t="s">
        <v>559</v>
      </c>
      <c r="J238" s="66" t="s">
        <v>719</v>
      </c>
      <c r="K238" s="66" t="s">
        <v>84</v>
      </c>
      <c r="L238" s="66" t="s">
        <v>68</v>
      </c>
      <c r="M238" s="66"/>
      <c r="N238" s="79" t="s">
        <v>304</v>
      </c>
      <c r="O238" s="133">
        <v>1</v>
      </c>
      <c r="P238" s="133">
        <f t="shared" ref="P238:P251" si="11">COUNTA(H238)</f>
        <v>0</v>
      </c>
      <c r="Q238" s="133">
        <f t="shared" ref="Q238:Q251" si="12">COUNTA(I238)</f>
        <v>1</v>
      </c>
      <c r="R238" s="133">
        <f t="shared" ref="R238:R251" si="13">COUNTA(J238)</f>
        <v>1</v>
      </c>
      <c r="S238" s="133">
        <f t="shared" ref="S238:S251" si="14">COUNTA(K238)</f>
        <v>1</v>
      </c>
      <c r="T238" s="133">
        <f t="shared" ref="T238:T251" si="15">COUNTIF(L238,"=Y")</f>
        <v>0</v>
      </c>
      <c r="U238" s="133">
        <f t="shared" ref="U238:U251" si="16">COUNTIF(L238,"=N")</f>
        <v>0</v>
      </c>
      <c r="V238" s="209">
        <f>IF(Tab_PubSec[[#This Row],[Energy demand focus]]="Y",Tab_PubSec[[#This Row],[Category]],0)</f>
        <v>0</v>
      </c>
      <c r="W238" s="209">
        <f>IF(Tab_PubSec[[#This Row],[Energy demand focus]]="Y",Tab_PubSec[[#This Row],[Investment]],0)</f>
        <v>0</v>
      </c>
      <c r="X238" s="209">
        <f>IF(Tab_PubSec[[#This Row],[Energy demand focus]]="N",Tab_PubSec[[#This Row],[Investment]],0)</f>
        <v>0</v>
      </c>
    </row>
    <row r="239" spans="1:27" ht="60" x14ac:dyDescent="0.25">
      <c r="A239" s="78">
        <v>117</v>
      </c>
      <c r="B239" s="66" t="s">
        <v>141</v>
      </c>
      <c r="C239" s="68" t="s">
        <v>699</v>
      </c>
      <c r="D239" s="67" t="s">
        <v>555</v>
      </c>
      <c r="E239" s="67" t="s">
        <v>426</v>
      </c>
      <c r="F239" s="67" t="s">
        <v>785</v>
      </c>
      <c r="G239" s="67" t="s">
        <v>556</v>
      </c>
      <c r="H239" s="67"/>
      <c r="I239" s="66" t="s">
        <v>559</v>
      </c>
      <c r="J239" s="66" t="s">
        <v>720</v>
      </c>
      <c r="K239" s="66" t="s">
        <v>720</v>
      </c>
      <c r="L239" s="66" t="s">
        <v>68</v>
      </c>
      <c r="M239" s="66"/>
      <c r="N239" s="79"/>
      <c r="O239" s="134">
        <v>1</v>
      </c>
      <c r="P239" s="134">
        <f t="shared" si="11"/>
        <v>0</v>
      </c>
      <c r="Q239" s="134">
        <f t="shared" si="12"/>
        <v>1</v>
      </c>
      <c r="R239" s="133">
        <f t="shared" si="13"/>
        <v>1</v>
      </c>
      <c r="S239" s="133">
        <f t="shared" si="14"/>
        <v>1</v>
      </c>
      <c r="T239" s="134">
        <f t="shared" si="15"/>
        <v>0</v>
      </c>
      <c r="U239" s="134">
        <f t="shared" si="16"/>
        <v>0</v>
      </c>
      <c r="V239" s="209">
        <f>IF(Tab_PubSec[[#This Row],[Energy demand focus]]="Y",Tab_PubSec[[#This Row],[Category]],0)</f>
        <v>0</v>
      </c>
      <c r="W239" s="208">
        <f>IF(Tab_PubSec[[#This Row],[Energy demand focus]]="Y",Tab_PubSec[[#This Row],[Investment]],0)</f>
        <v>0</v>
      </c>
      <c r="X239" s="208">
        <f>IF(Tab_PubSec[[#This Row],[Energy demand focus]]="N",Tab_PubSec[[#This Row],[Investment]],0)</f>
        <v>0</v>
      </c>
    </row>
    <row r="240" spans="1:27" ht="60" x14ac:dyDescent="0.25">
      <c r="A240" s="78">
        <v>117</v>
      </c>
      <c r="B240" s="66" t="s">
        <v>554</v>
      </c>
      <c r="C240" s="68" t="s">
        <v>699</v>
      </c>
      <c r="D240" s="67" t="s">
        <v>425</v>
      </c>
      <c r="E240" s="67" t="s">
        <v>130</v>
      </c>
      <c r="F240" s="67" t="s">
        <v>130</v>
      </c>
      <c r="G240" s="67" t="s">
        <v>661</v>
      </c>
      <c r="H240" s="67"/>
      <c r="I240" s="66" t="s">
        <v>559</v>
      </c>
      <c r="J240" s="66"/>
      <c r="K240" s="66"/>
      <c r="L240" s="66" t="s">
        <v>68</v>
      </c>
      <c r="M240" s="66"/>
      <c r="N240" s="79" t="s">
        <v>304</v>
      </c>
      <c r="O240" s="134">
        <v>1</v>
      </c>
      <c r="P240" s="134">
        <f t="shared" si="11"/>
        <v>0</v>
      </c>
      <c r="Q240" s="134">
        <f t="shared" si="12"/>
        <v>1</v>
      </c>
      <c r="R240" s="133">
        <f t="shared" si="13"/>
        <v>0</v>
      </c>
      <c r="S240" s="133">
        <f t="shared" si="14"/>
        <v>0</v>
      </c>
      <c r="T240" s="134">
        <f t="shared" si="15"/>
        <v>0</v>
      </c>
      <c r="U240" s="134">
        <f t="shared" si="16"/>
        <v>0</v>
      </c>
      <c r="V240" s="209">
        <f>IF(Tab_PubSec[[#This Row],[Energy demand focus]]="Y",Tab_PubSec[[#This Row],[Category]],0)</f>
        <v>0</v>
      </c>
      <c r="W240" s="208">
        <f>IF(Tab_PubSec[[#This Row],[Energy demand focus]]="Y",Tab_PubSec[[#This Row],[Investment]],0)</f>
        <v>0</v>
      </c>
      <c r="X240" s="208">
        <f>IF(Tab_PubSec[[#This Row],[Energy demand focus]]="N",Tab_PubSec[[#This Row],[Investment]],0)</f>
        <v>0</v>
      </c>
    </row>
    <row r="241" spans="1:25" ht="30" x14ac:dyDescent="0.25">
      <c r="A241" s="78">
        <v>117</v>
      </c>
      <c r="B241" s="66">
        <v>2</v>
      </c>
      <c r="C241" s="68" t="s">
        <v>699</v>
      </c>
      <c r="D241" s="67" t="s">
        <v>660</v>
      </c>
      <c r="E241" s="67" t="s">
        <v>426</v>
      </c>
      <c r="F241" s="67" t="s">
        <v>785</v>
      </c>
      <c r="G241" s="67" t="s">
        <v>427</v>
      </c>
      <c r="H241" s="67"/>
      <c r="I241" s="66" t="s">
        <v>559</v>
      </c>
      <c r="J241" s="66"/>
      <c r="K241" s="66"/>
      <c r="L241" s="66" t="s">
        <v>68</v>
      </c>
      <c r="M241" s="66"/>
      <c r="N241" s="79" t="s">
        <v>428</v>
      </c>
      <c r="O241" s="134">
        <v>1</v>
      </c>
      <c r="P241" s="134">
        <f t="shared" si="11"/>
        <v>0</v>
      </c>
      <c r="Q241" s="134">
        <f t="shared" si="12"/>
        <v>1</v>
      </c>
      <c r="R241" s="133">
        <f t="shared" si="13"/>
        <v>0</v>
      </c>
      <c r="S241" s="133">
        <f t="shared" si="14"/>
        <v>0</v>
      </c>
      <c r="T241" s="134">
        <f t="shared" si="15"/>
        <v>0</v>
      </c>
      <c r="U241" s="134">
        <f t="shared" si="16"/>
        <v>0</v>
      </c>
      <c r="V241" s="209">
        <f>IF(Tab_PubSec[[#This Row],[Energy demand focus]]="Y",Tab_PubSec[[#This Row],[Category]],0)</f>
        <v>0</v>
      </c>
      <c r="W241" s="208">
        <f>IF(Tab_PubSec[[#This Row],[Energy demand focus]]="Y",Tab_PubSec[[#This Row],[Investment]],0)</f>
        <v>0</v>
      </c>
      <c r="X241" s="208">
        <f>IF(Tab_PubSec[[#This Row],[Energy demand focus]]="N",Tab_PubSec[[#This Row],[Investment]],0)</f>
        <v>0</v>
      </c>
    </row>
    <row r="242" spans="1:25" ht="45" x14ac:dyDescent="0.25">
      <c r="A242" s="78">
        <v>117</v>
      </c>
      <c r="B242" s="66">
        <v>3</v>
      </c>
      <c r="C242" s="68" t="s">
        <v>700</v>
      </c>
      <c r="D242" s="67" t="s">
        <v>659</v>
      </c>
      <c r="E242" s="67" t="s">
        <v>122</v>
      </c>
      <c r="F242" s="67" t="s">
        <v>1</v>
      </c>
      <c r="G242" s="67" t="s">
        <v>521</v>
      </c>
      <c r="H242" s="67" t="s">
        <v>429</v>
      </c>
      <c r="I242" s="66" t="s">
        <v>559</v>
      </c>
      <c r="J242" s="66"/>
      <c r="K242" s="66"/>
      <c r="L242" s="66" t="s">
        <v>84</v>
      </c>
      <c r="M242" s="66"/>
      <c r="N242" s="79"/>
      <c r="O242" s="134">
        <v>1</v>
      </c>
      <c r="P242" s="134">
        <f t="shared" si="11"/>
        <v>1</v>
      </c>
      <c r="Q242" s="134">
        <f t="shared" si="12"/>
        <v>1</v>
      </c>
      <c r="R242" s="133">
        <f t="shared" si="13"/>
        <v>0</v>
      </c>
      <c r="S242" s="133">
        <f t="shared" si="14"/>
        <v>0</v>
      </c>
      <c r="T242" s="134">
        <f t="shared" si="15"/>
        <v>1</v>
      </c>
      <c r="U242" s="134">
        <f t="shared" si="16"/>
        <v>0</v>
      </c>
      <c r="V242" s="209" t="str">
        <f>IF(Tab_PubSec[[#This Row],[Energy demand focus]]="Y",Tab_PubSec[[#This Row],[Category]],0)</f>
        <v>Investment</v>
      </c>
      <c r="W242" s="208" t="str">
        <f>IF(Tab_PubSec[[#This Row],[Energy demand focus]]="Y",Tab_PubSec[[#This Row],[Investment]],0)</f>
        <v>£295 million</v>
      </c>
      <c r="X242" s="208">
        <f>IF(Tab_PubSec[[#This Row],[Energy demand focus]]="N",Tab_PubSec[[#This Row],[Investment]],0)</f>
        <v>0</v>
      </c>
    </row>
    <row r="243" spans="1:25" ht="45" x14ac:dyDescent="0.25">
      <c r="A243" s="78">
        <v>117</v>
      </c>
      <c r="B243" s="66" t="s">
        <v>149</v>
      </c>
      <c r="C243" s="68" t="s">
        <v>700</v>
      </c>
      <c r="D243" s="67" t="s">
        <v>779</v>
      </c>
      <c r="E243" s="67" t="s">
        <v>122</v>
      </c>
      <c r="F243" s="67" t="s">
        <v>1</v>
      </c>
      <c r="G243" s="67"/>
      <c r="H243" s="67"/>
      <c r="I243" s="66" t="s">
        <v>559</v>
      </c>
      <c r="J243" s="66"/>
      <c r="K243" s="66"/>
      <c r="L243" s="66" t="s">
        <v>84</v>
      </c>
      <c r="M243" s="66"/>
      <c r="N243" s="79"/>
      <c r="O243" s="134">
        <v>0</v>
      </c>
      <c r="P243" s="134">
        <f t="shared" si="11"/>
        <v>0</v>
      </c>
      <c r="Q243" s="134">
        <f t="shared" si="12"/>
        <v>1</v>
      </c>
      <c r="R243" s="133">
        <f t="shared" si="13"/>
        <v>0</v>
      </c>
      <c r="S243" s="133">
        <f t="shared" si="14"/>
        <v>0</v>
      </c>
      <c r="T243" s="134">
        <f t="shared" si="15"/>
        <v>1</v>
      </c>
      <c r="U243" s="134">
        <f t="shared" si="16"/>
        <v>0</v>
      </c>
      <c r="V243" s="209" t="str">
        <f>IF(Tab_PubSec[[#This Row],[Energy demand focus]]="Y",Tab_PubSec[[#This Row],[Category]],0)</f>
        <v>Investment</v>
      </c>
      <c r="W243" s="208">
        <f>IF(Tab_PubSec[[#This Row],[Energy demand focus]]="Y",Tab_PubSec[[#This Row],[Investment]],0)</f>
        <v>0</v>
      </c>
      <c r="X243" s="208">
        <f>IF(Tab_PubSec[[#This Row],[Energy demand focus]]="N",Tab_PubSec[[#This Row],[Investment]],0)</f>
        <v>0</v>
      </c>
    </row>
    <row r="244" spans="1:25" ht="30" x14ac:dyDescent="0.25">
      <c r="A244" s="78">
        <v>117</v>
      </c>
      <c r="B244" s="66" t="s">
        <v>150</v>
      </c>
      <c r="C244" s="68" t="s">
        <v>700</v>
      </c>
      <c r="D244" s="67" t="s">
        <v>778</v>
      </c>
      <c r="E244" s="67" t="s">
        <v>122</v>
      </c>
      <c r="F244" s="67" t="s">
        <v>1</v>
      </c>
      <c r="G244" s="67" t="s">
        <v>430</v>
      </c>
      <c r="H244" s="67"/>
      <c r="I244" s="66"/>
      <c r="J244" s="66"/>
      <c r="K244" s="66"/>
      <c r="L244" s="66" t="s">
        <v>192</v>
      </c>
      <c r="M244" s="66"/>
      <c r="N244" s="68"/>
      <c r="O244" s="134">
        <v>1</v>
      </c>
      <c r="P244" s="134">
        <f t="shared" si="11"/>
        <v>0</v>
      </c>
      <c r="Q244" s="134">
        <f t="shared" si="12"/>
        <v>0</v>
      </c>
      <c r="R244" s="133">
        <f t="shared" si="13"/>
        <v>0</v>
      </c>
      <c r="S244" s="133">
        <f t="shared" si="14"/>
        <v>0</v>
      </c>
      <c r="T244" s="134">
        <f t="shared" si="15"/>
        <v>0</v>
      </c>
      <c r="U244" s="134">
        <f t="shared" si="16"/>
        <v>0</v>
      </c>
      <c r="V244" s="209">
        <f>IF(Tab_PubSec[[#This Row],[Energy demand focus]]="Y",Tab_PubSec[[#This Row],[Category]],0)</f>
        <v>0</v>
      </c>
      <c r="W244" s="208"/>
      <c r="X244" s="208"/>
    </row>
    <row r="245" spans="1:25" ht="30" x14ac:dyDescent="0.25">
      <c r="A245" s="78">
        <v>118</v>
      </c>
      <c r="B245" s="66"/>
      <c r="C245" s="68" t="s">
        <v>780</v>
      </c>
      <c r="D245" s="67" t="s">
        <v>431</v>
      </c>
      <c r="E245" s="67" t="s">
        <v>268</v>
      </c>
      <c r="F245" s="67" t="s">
        <v>130</v>
      </c>
      <c r="G245" s="67"/>
      <c r="H245" s="67"/>
      <c r="I245" s="66"/>
      <c r="J245" s="66"/>
      <c r="K245" s="66"/>
      <c r="L245" s="66" t="s">
        <v>14</v>
      </c>
      <c r="M245" s="66"/>
      <c r="N245" s="79"/>
      <c r="O245" s="134">
        <v>0</v>
      </c>
      <c r="P245" s="134">
        <f t="shared" si="11"/>
        <v>0</v>
      </c>
      <c r="Q245" s="134">
        <f t="shared" si="12"/>
        <v>0</v>
      </c>
      <c r="R245" s="133">
        <f t="shared" si="13"/>
        <v>0</v>
      </c>
      <c r="S245" s="133">
        <f t="shared" si="14"/>
        <v>0</v>
      </c>
      <c r="T245" s="134">
        <f t="shared" si="15"/>
        <v>0</v>
      </c>
      <c r="U245" s="134">
        <f t="shared" si="16"/>
        <v>0</v>
      </c>
      <c r="V245" s="209">
        <f>IF(Tab_PubSec[[#This Row],[Energy demand focus]]="Y",Tab_PubSec[[#This Row],[Category]],0)</f>
        <v>0</v>
      </c>
      <c r="W245" s="208">
        <f>IF(Tab_PubSec[[#This Row],[Energy demand focus]]="Y",Tab_PubSec[[#This Row],[Investment]],0)</f>
        <v>0</v>
      </c>
      <c r="X245" s="208">
        <f>IF(Tab_PubSec[[#This Row],[Energy demand focus]]="N",Tab_PubSec[[#This Row],[Investment]],0)</f>
        <v>0</v>
      </c>
    </row>
    <row r="246" spans="1:25" ht="30" x14ac:dyDescent="0.25">
      <c r="A246" s="78">
        <v>118</v>
      </c>
      <c r="B246" s="66"/>
      <c r="C246" s="68" t="s">
        <v>780</v>
      </c>
      <c r="D246" s="67" t="s">
        <v>432</v>
      </c>
      <c r="E246" s="67" t="s">
        <v>433</v>
      </c>
      <c r="F246" s="67" t="s">
        <v>785</v>
      </c>
      <c r="G246" s="67" t="s">
        <v>434</v>
      </c>
      <c r="H246" s="67"/>
      <c r="I246" s="66"/>
      <c r="J246" s="66"/>
      <c r="K246" s="66"/>
      <c r="L246" s="66" t="s">
        <v>67</v>
      </c>
      <c r="M246" s="66"/>
      <c r="N246" s="79"/>
      <c r="O246" s="134">
        <v>1</v>
      </c>
      <c r="P246" s="134">
        <f t="shared" si="11"/>
        <v>0</v>
      </c>
      <c r="Q246" s="134">
        <f t="shared" si="12"/>
        <v>0</v>
      </c>
      <c r="R246" s="133">
        <f t="shared" si="13"/>
        <v>0</v>
      </c>
      <c r="S246" s="133">
        <f t="shared" si="14"/>
        <v>0</v>
      </c>
      <c r="T246" s="134">
        <f t="shared" si="15"/>
        <v>0</v>
      </c>
      <c r="U246" s="134">
        <f t="shared" si="16"/>
        <v>1</v>
      </c>
      <c r="V246" s="209">
        <f>IF(Tab_PubSec[[#This Row],[Energy demand focus]]="Y",Tab_PubSec[[#This Row],[Category]],0)</f>
        <v>0</v>
      </c>
      <c r="W246" s="208">
        <f>IF(Tab_PubSec[[#This Row],[Energy demand focus]]="Y",Tab_PubSec[[#This Row],[Investment]],0)</f>
        <v>0</v>
      </c>
      <c r="X246" s="208">
        <f>IF(Tab_PubSec[[#This Row],[Energy demand focus]]="N",Tab_PubSec[[#This Row],[Investment]],0)</f>
        <v>0</v>
      </c>
    </row>
    <row r="247" spans="1:25" ht="45" x14ac:dyDescent="0.25">
      <c r="A247" s="78">
        <v>118</v>
      </c>
      <c r="B247" s="66"/>
      <c r="C247" s="68" t="s">
        <v>780</v>
      </c>
      <c r="D247" s="67" t="s">
        <v>435</v>
      </c>
      <c r="E247" s="67" t="s">
        <v>388</v>
      </c>
      <c r="F247" s="67" t="s">
        <v>388</v>
      </c>
      <c r="G247" s="67"/>
      <c r="H247" s="67"/>
      <c r="I247" s="66"/>
      <c r="J247" s="66"/>
      <c r="K247" s="66"/>
      <c r="L247" s="66" t="s">
        <v>352</v>
      </c>
      <c r="M247" s="66"/>
      <c r="N247" s="79"/>
      <c r="O247" s="134">
        <v>0</v>
      </c>
      <c r="P247" s="134">
        <f t="shared" si="11"/>
        <v>0</v>
      </c>
      <c r="Q247" s="134">
        <f t="shared" si="12"/>
        <v>0</v>
      </c>
      <c r="R247" s="133">
        <f t="shared" si="13"/>
        <v>0</v>
      </c>
      <c r="S247" s="133">
        <f t="shared" si="14"/>
        <v>0</v>
      </c>
      <c r="T247" s="134">
        <f t="shared" si="15"/>
        <v>0</v>
      </c>
      <c r="U247" s="134">
        <f t="shared" si="16"/>
        <v>0</v>
      </c>
      <c r="V247" s="209">
        <f>IF(Tab_PubSec[[#This Row],[Energy demand focus]]="Y",Tab_PubSec[[#This Row],[Category]],0)</f>
        <v>0</v>
      </c>
      <c r="W247" s="208">
        <f>IF(Tab_PubSec[[#This Row],[Energy demand focus]]="Y",Tab_PubSec[[#This Row],[Investment]],0)</f>
        <v>0</v>
      </c>
      <c r="X247" s="208">
        <f>IF(Tab_PubSec[[#This Row],[Energy demand focus]]="N",Tab_PubSec[[#This Row],[Investment]],0)</f>
        <v>0</v>
      </c>
    </row>
    <row r="248" spans="1:25" ht="45" x14ac:dyDescent="0.25">
      <c r="A248" s="78">
        <v>118</v>
      </c>
      <c r="B248" s="66"/>
      <c r="C248" s="68" t="s">
        <v>780</v>
      </c>
      <c r="D248" s="67" t="s">
        <v>436</v>
      </c>
      <c r="E248" s="67" t="s">
        <v>437</v>
      </c>
      <c r="F248" s="67" t="s">
        <v>1</v>
      </c>
      <c r="G248" s="67" t="s">
        <v>438</v>
      </c>
      <c r="H248" s="67"/>
      <c r="I248" s="66"/>
      <c r="J248" s="66"/>
      <c r="K248" s="66"/>
      <c r="L248" s="66" t="s">
        <v>335</v>
      </c>
      <c r="M248" s="66"/>
      <c r="N248" s="79"/>
      <c r="O248" s="134">
        <v>1</v>
      </c>
      <c r="P248" s="134">
        <f t="shared" si="11"/>
        <v>0</v>
      </c>
      <c r="Q248" s="134">
        <f t="shared" si="12"/>
        <v>0</v>
      </c>
      <c r="R248" s="133">
        <f t="shared" si="13"/>
        <v>0</v>
      </c>
      <c r="S248" s="133">
        <f t="shared" si="14"/>
        <v>0</v>
      </c>
      <c r="T248" s="134">
        <f t="shared" si="15"/>
        <v>0</v>
      </c>
      <c r="U248" s="134">
        <f t="shared" si="16"/>
        <v>0</v>
      </c>
      <c r="V248" s="209">
        <f>IF(Tab_PubSec[[#This Row],[Energy demand focus]]="Y",Tab_PubSec[[#This Row],[Category]],0)</f>
        <v>0</v>
      </c>
      <c r="W248" s="208">
        <f>IF(Tab_PubSec[[#This Row],[Energy demand focus]]="Y",Tab_PubSec[[#This Row],[Investment]],0)</f>
        <v>0</v>
      </c>
      <c r="X248" s="208">
        <f>IF(Tab_PubSec[[#This Row],[Energy demand focus]]="N",Tab_PubSec[[#This Row],[Investment]],0)</f>
        <v>0</v>
      </c>
    </row>
    <row r="249" spans="1:25" ht="45" x14ac:dyDescent="0.25">
      <c r="A249" s="78">
        <v>118</v>
      </c>
      <c r="B249" s="66"/>
      <c r="C249" s="68" t="s">
        <v>780</v>
      </c>
      <c r="D249" s="67" t="s">
        <v>440</v>
      </c>
      <c r="E249" s="67" t="s">
        <v>439</v>
      </c>
      <c r="F249" s="67" t="s">
        <v>388</v>
      </c>
      <c r="G249" s="67"/>
      <c r="H249" s="67"/>
      <c r="I249" s="66"/>
      <c r="J249" s="66"/>
      <c r="K249" s="66"/>
      <c r="L249" s="66" t="s">
        <v>335</v>
      </c>
      <c r="M249" s="66"/>
      <c r="N249" s="79"/>
      <c r="O249" s="134">
        <v>0</v>
      </c>
      <c r="P249" s="134">
        <f t="shared" si="11"/>
        <v>0</v>
      </c>
      <c r="Q249" s="134">
        <f t="shared" si="12"/>
        <v>0</v>
      </c>
      <c r="R249" s="133">
        <f t="shared" si="13"/>
        <v>0</v>
      </c>
      <c r="S249" s="133">
        <f t="shared" si="14"/>
        <v>0</v>
      </c>
      <c r="T249" s="134">
        <f t="shared" si="15"/>
        <v>0</v>
      </c>
      <c r="U249" s="134">
        <f t="shared" si="16"/>
        <v>0</v>
      </c>
      <c r="V249" s="209">
        <f>IF(Tab_PubSec[[#This Row],[Energy demand focus]]="Y",Tab_PubSec[[#This Row],[Category]],0)</f>
        <v>0</v>
      </c>
      <c r="W249" s="208">
        <f>IF(Tab_PubSec[[#This Row],[Energy demand focus]]="Y",Tab_PubSec[[#This Row],[Investment]],0)</f>
        <v>0</v>
      </c>
      <c r="X249" s="208">
        <f>IF(Tab_PubSec[[#This Row],[Energy demand focus]]="N",Tab_PubSec[[#This Row],[Investment]],0)</f>
        <v>0</v>
      </c>
    </row>
    <row r="250" spans="1:25" ht="30" x14ac:dyDescent="0.25">
      <c r="A250" s="78">
        <v>119</v>
      </c>
      <c r="B250" s="66"/>
      <c r="C250" s="68" t="s">
        <v>780</v>
      </c>
      <c r="D250" s="67" t="s">
        <v>441</v>
      </c>
      <c r="E250" s="67" t="s">
        <v>122</v>
      </c>
      <c r="F250" s="67" t="s">
        <v>1</v>
      </c>
      <c r="G250" s="67"/>
      <c r="H250" s="67"/>
      <c r="I250" s="66"/>
      <c r="J250" s="66"/>
      <c r="K250" s="66"/>
      <c r="L250" s="66" t="s">
        <v>335</v>
      </c>
      <c r="M250" s="66"/>
      <c r="N250" s="79"/>
      <c r="O250" s="134">
        <v>0</v>
      </c>
      <c r="P250" s="134">
        <f t="shared" si="11"/>
        <v>0</v>
      </c>
      <c r="Q250" s="134">
        <f t="shared" si="12"/>
        <v>0</v>
      </c>
      <c r="R250" s="133">
        <f t="shared" si="13"/>
        <v>0</v>
      </c>
      <c r="S250" s="133">
        <f t="shared" si="14"/>
        <v>0</v>
      </c>
      <c r="T250" s="134">
        <f t="shared" si="15"/>
        <v>0</v>
      </c>
      <c r="U250" s="134">
        <f t="shared" si="16"/>
        <v>0</v>
      </c>
      <c r="V250" s="209">
        <f>IF(Tab_PubSec[[#This Row],[Energy demand focus]]="Y",Tab_PubSec[[#This Row],[Category]],0)</f>
        <v>0</v>
      </c>
      <c r="W250" s="208">
        <f>IF(Tab_PubSec[[#This Row],[Energy demand focus]]="Y",Tab_PubSec[[#This Row],[Investment]],0)</f>
        <v>0</v>
      </c>
      <c r="X250" s="208">
        <f>IF(Tab_PubSec[[#This Row],[Energy demand focus]]="N",Tab_PubSec[[#This Row],[Investment]],0)</f>
        <v>0</v>
      </c>
    </row>
    <row r="251" spans="1:25" ht="45" x14ac:dyDescent="0.25">
      <c r="A251" s="80">
        <v>119</v>
      </c>
      <c r="B251" s="70"/>
      <c r="C251" s="68" t="s">
        <v>780</v>
      </c>
      <c r="D251" s="71" t="s">
        <v>442</v>
      </c>
      <c r="E251" s="71" t="s">
        <v>388</v>
      </c>
      <c r="F251" s="71" t="s">
        <v>388</v>
      </c>
      <c r="G251" s="71"/>
      <c r="H251" s="71"/>
      <c r="I251" s="70"/>
      <c r="J251" s="70"/>
      <c r="K251" s="70"/>
      <c r="L251" s="70" t="s">
        <v>67</v>
      </c>
      <c r="M251" s="70"/>
      <c r="N251" s="81"/>
      <c r="O251" s="135">
        <v>0</v>
      </c>
      <c r="P251" s="135">
        <f t="shared" si="11"/>
        <v>0</v>
      </c>
      <c r="Q251" s="135">
        <f t="shared" si="12"/>
        <v>0</v>
      </c>
      <c r="R251" s="133">
        <f t="shared" si="13"/>
        <v>0</v>
      </c>
      <c r="S251" s="133">
        <f t="shared" si="14"/>
        <v>0</v>
      </c>
      <c r="T251" s="135">
        <f t="shared" si="15"/>
        <v>0</v>
      </c>
      <c r="U251" s="135">
        <f t="shared" si="16"/>
        <v>1</v>
      </c>
      <c r="V251" s="209">
        <f>IF(Tab_PubSec[[#This Row],[Energy demand focus]]="Y",Tab_PubSec[[#This Row],[Category]],0)</f>
        <v>0</v>
      </c>
      <c r="W251" s="210">
        <f>IF(Tab_PubSec[[#This Row],[Energy demand focus]]="Y",Tab_PubSec[[#This Row],[Investment]],0)</f>
        <v>0</v>
      </c>
      <c r="X251" s="210">
        <f>IF(Tab_PubSec[[#This Row],[Energy demand focus]]="N",Tab_PubSec[[#This Row],[Investment]],0)</f>
        <v>0</v>
      </c>
    </row>
    <row r="252" spans="1:25" x14ac:dyDescent="0.25">
      <c r="A252" s="18"/>
      <c r="B252" s="18"/>
      <c r="C252" s="38"/>
      <c r="D252" s="19"/>
      <c r="E252" s="18"/>
      <c r="F252" s="19"/>
      <c r="G252" s="19"/>
      <c r="H252" s="18"/>
      <c r="I252" s="18"/>
      <c r="J252" s="18"/>
      <c r="K252" s="38"/>
      <c r="L252" s="20"/>
      <c r="O252" s="315" t="s">
        <v>826</v>
      </c>
      <c r="P252" s="315"/>
      <c r="Q252" s="315"/>
      <c r="R252" s="315"/>
      <c r="S252" s="315"/>
      <c r="T252" s="315"/>
      <c r="U252" s="315"/>
      <c r="V252" s="315"/>
      <c r="W252" s="315" t="s">
        <v>825</v>
      </c>
      <c r="X252" s="315"/>
    </row>
    <row r="253" spans="1:25" x14ac:dyDescent="0.25">
      <c r="A253" s="18"/>
      <c r="B253" s="18"/>
      <c r="C253" s="38"/>
      <c r="D253" s="19"/>
      <c r="E253" s="18"/>
      <c r="F253" s="19"/>
      <c r="G253" s="19"/>
      <c r="H253" s="18"/>
      <c r="I253" s="18"/>
      <c r="J253" s="18"/>
      <c r="K253" s="38"/>
      <c r="L253" s="20"/>
      <c r="O253" s="103">
        <f>SUM(Tab_PubSec[Time])</f>
        <v>8</v>
      </c>
      <c r="P253" s="103">
        <f>SUM(Tab_PubSec[Inv])</f>
        <v>1</v>
      </c>
      <c r="Q253" s="103">
        <f>SUM(Tab_PubSec[Dep])</f>
        <v>6</v>
      </c>
      <c r="R253" s="103">
        <f>SUM(Tab_PubSec[Targ])</f>
        <v>2</v>
      </c>
      <c r="S253" s="103">
        <f>SUM(Tab_PubSec[Obl])</f>
        <v>2</v>
      </c>
      <c r="T253" s="103">
        <f>SUM(Tab_PubSec[Dem-yes])</f>
        <v>2</v>
      </c>
      <c r="U253" s="103">
        <f>SUM(Tab_PubSec[Dem-no])</f>
        <v>2</v>
      </c>
      <c r="W253" s="103"/>
      <c r="X253" s="103"/>
      <c r="Y253" s="103"/>
    </row>
    <row r="254" spans="1:25" x14ac:dyDescent="0.25">
      <c r="L254" s="20"/>
      <c r="P254" s="22"/>
      <c r="Q254" s="22"/>
      <c r="R254" s="22"/>
      <c r="S254" s="22"/>
      <c r="T254" s="20"/>
      <c r="U254" s="20"/>
      <c r="V254" s="20"/>
    </row>
    <row r="255" spans="1:25" x14ac:dyDescent="0.25">
      <c r="B255" s="127" t="s">
        <v>698</v>
      </c>
      <c r="L255" s="20"/>
      <c r="P255" s="22"/>
      <c r="Q255" s="22"/>
      <c r="R255" s="22"/>
      <c r="S255" s="22"/>
      <c r="T255" s="20"/>
      <c r="U255" s="20"/>
      <c r="V255" s="20"/>
    </row>
    <row r="257" spans="2:3" x14ac:dyDescent="0.25">
      <c r="B257" s="42" t="s">
        <v>559</v>
      </c>
      <c r="C257" s="42" t="s">
        <v>584</v>
      </c>
    </row>
    <row r="258" spans="2:3" x14ac:dyDescent="0.25">
      <c r="B258" s="42" t="s">
        <v>578</v>
      </c>
      <c r="C258" s="42" t="s">
        <v>579</v>
      </c>
    </row>
    <row r="259" spans="2:3" x14ac:dyDescent="0.25">
      <c r="B259" s="42" t="s">
        <v>580</v>
      </c>
      <c r="C259" s="42" t="s">
        <v>581</v>
      </c>
    </row>
    <row r="260" spans="2:3" x14ac:dyDescent="0.25">
      <c r="B260" s="42" t="s">
        <v>582</v>
      </c>
      <c r="C260" s="42" t="s">
        <v>583</v>
      </c>
    </row>
    <row r="261" spans="2:3" x14ac:dyDescent="0.25">
      <c r="B261" s="42" t="s">
        <v>597</v>
      </c>
      <c r="C261" s="42" t="s">
        <v>598</v>
      </c>
    </row>
    <row r="262" spans="2:3" x14ac:dyDescent="0.25">
      <c r="B262" s="42" t="s">
        <v>608</v>
      </c>
      <c r="C262" s="42" t="s">
        <v>609</v>
      </c>
    </row>
    <row r="263" spans="2:3" x14ac:dyDescent="0.25">
      <c r="B263" s="42" t="s">
        <v>635</v>
      </c>
      <c r="C263" s="42" t="s">
        <v>637</v>
      </c>
    </row>
  </sheetData>
  <mergeCells count="14">
    <mergeCell ref="V37:W37"/>
    <mergeCell ref="W36:X36"/>
    <mergeCell ref="O36:V36"/>
    <mergeCell ref="O84:V84"/>
    <mergeCell ref="O5:X5"/>
    <mergeCell ref="O252:V252"/>
    <mergeCell ref="W252:X252"/>
    <mergeCell ref="W84:X84"/>
    <mergeCell ref="O142:V142"/>
    <mergeCell ref="W142:X142"/>
    <mergeCell ref="O230:V230"/>
    <mergeCell ref="W230:X230"/>
    <mergeCell ref="O177:V177"/>
    <mergeCell ref="W177:X177"/>
  </mergeCells>
  <conditionalFormatting sqref="Y1:Y2 Y36 Y84:Y90 Y142:Y148 Y39:Y42 Y177:Y182 Y230:Y236 Y252:Y1048576 Y4:Y5">
    <cfRule type="cellIs" dxfId="270" priority="1" operator="equal">
      <formula>2</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AQ97"/>
  <sheetViews>
    <sheetView topLeftCell="A10" zoomScale="70" zoomScaleNormal="70" workbookViewId="0">
      <pane xSplit="1" topLeftCell="C1" activePane="topRight" state="frozen"/>
      <selection pane="topRight" activeCell="AP19" sqref="AP19"/>
    </sheetView>
  </sheetViews>
  <sheetFormatPr defaultColWidth="8.85546875" defaultRowHeight="15" x14ac:dyDescent="0.25"/>
  <cols>
    <col min="1" max="1" width="33" bestFit="1" customWidth="1"/>
    <col min="2" max="2" width="12.7109375" customWidth="1"/>
    <col min="3" max="3" width="14.140625" style="12" customWidth="1"/>
    <col min="4" max="4" width="12.7109375" style="12" customWidth="1"/>
    <col min="5" max="41" width="6.7109375" style="12" customWidth="1"/>
  </cols>
  <sheetData>
    <row r="1" spans="1:43" ht="23.25" x14ac:dyDescent="0.35">
      <c r="A1" s="129" t="s">
        <v>906</v>
      </c>
    </row>
    <row r="2" spans="1:43" ht="18.75" x14ac:dyDescent="0.3">
      <c r="A2" s="207" t="s">
        <v>907</v>
      </c>
    </row>
    <row r="4" spans="1:43" s="108" customFormat="1" ht="26.1" customHeight="1" x14ac:dyDescent="0.25">
      <c r="A4" s="107"/>
      <c r="B4" s="317" t="s">
        <v>680</v>
      </c>
      <c r="C4" s="318"/>
      <c r="D4" s="318"/>
      <c r="E4" s="319"/>
      <c r="F4" s="322" t="s">
        <v>662</v>
      </c>
      <c r="G4" s="323"/>
      <c r="H4" s="323"/>
      <c r="I4" s="324"/>
      <c r="J4" s="325" t="s">
        <v>663</v>
      </c>
      <c r="K4" s="326"/>
      <c r="L4" s="326"/>
      <c r="M4" s="326"/>
      <c r="N4" s="327"/>
      <c r="O4" s="328" t="s">
        <v>666</v>
      </c>
      <c r="P4" s="329"/>
      <c r="Q4" s="330"/>
      <c r="R4" s="331" t="s">
        <v>863</v>
      </c>
      <c r="S4" s="332"/>
      <c r="T4" s="332"/>
      <c r="U4" s="332"/>
      <c r="V4" s="332"/>
      <c r="W4" s="332"/>
      <c r="X4" s="332"/>
      <c r="Y4" s="332"/>
      <c r="Z4" s="333"/>
      <c r="AA4" s="334" t="s">
        <v>864</v>
      </c>
      <c r="AB4" s="335"/>
      <c r="AC4" s="335"/>
      <c r="AD4" s="335"/>
      <c r="AE4" s="335"/>
      <c r="AF4" s="335"/>
      <c r="AG4" s="335"/>
      <c r="AH4" s="335"/>
      <c r="AI4" s="336"/>
      <c r="AJ4" s="320" t="s">
        <v>801</v>
      </c>
      <c r="AK4" s="321"/>
      <c r="AL4" s="321"/>
      <c r="AM4" s="321"/>
      <c r="AN4" s="321"/>
      <c r="AO4" s="321"/>
      <c r="AP4" s="321"/>
      <c r="AQ4" s="321"/>
    </row>
    <row r="5" spans="1:43" s="138" customFormat="1" ht="67.5" customHeight="1" x14ac:dyDescent="0.25">
      <c r="A5" s="139" t="s">
        <v>0</v>
      </c>
      <c r="B5" s="215" t="s">
        <v>857</v>
      </c>
      <c r="C5" s="215" t="s">
        <v>859</v>
      </c>
      <c r="D5" s="216" t="s">
        <v>739</v>
      </c>
      <c r="E5" s="216" t="s">
        <v>756</v>
      </c>
      <c r="F5" s="215" t="s">
        <v>858</v>
      </c>
      <c r="G5" s="215" t="s">
        <v>835</v>
      </c>
      <c r="H5" s="215" t="s">
        <v>831</v>
      </c>
      <c r="I5" s="215" t="s">
        <v>836</v>
      </c>
      <c r="J5" s="217" t="s">
        <v>4</v>
      </c>
      <c r="K5" s="217" t="s">
        <v>122</v>
      </c>
      <c r="L5" s="217" t="s">
        <v>664</v>
      </c>
      <c r="M5" s="217" t="s">
        <v>727</v>
      </c>
      <c r="N5" s="217" t="s">
        <v>709</v>
      </c>
      <c r="O5" s="248" t="s">
        <v>666</v>
      </c>
      <c r="P5" s="249" t="s">
        <v>862</v>
      </c>
      <c r="Q5" s="248" t="s">
        <v>807</v>
      </c>
      <c r="R5" s="218" t="s">
        <v>1</v>
      </c>
      <c r="S5" s="218" t="s">
        <v>19</v>
      </c>
      <c r="T5" s="218" t="s">
        <v>388</v>
      </c>
      <c r="U5" s="218" t="s">
        <v>785</v>
      </c>
      <c r="V5" s="218" t="s">
        <v>719</v>
      </c>
      <c r="W5" s="218" t="s">
        <v>512</v>
      </c>
      <c r="X5" s="218" t="s">
        <v>784</v>
      </c>
      <c r="Y5" s="218" t="s">
        <v>14</v>
      </c>
      <c r="Z5" s="218" t="s">
        <v>788</v>
      </c>
      <c r="AA5" s="220" t="s">
        <v>789</v>
      </c>
      <c r="AB5" s="220" t="s">
        <v>800</v>
      </c>
      <c r="AC5" s="220" t="s">
        <v>790</v>
      </c>
      <c r="AD5" s="220" t="s">
        <v>791</v>
      </c>
      <c r="AE5" s="220" t="s">
        <v>792</v>
      </c>
      <c r="AF5" s="220" t="s">
        <v>793</v>
      </c>
      <c r="AG5" s="220" t="s">
        <v>794</v>
      </c>
      <c r="AH5" s="220" t="s">
        <v>795</v>
      </c>
      <c r="AI5" s="220" t="s">
        <v>796</v>
      </c>
      <c r="AJ5" s="219" t="s">
        <v>669</v>
      </c>
      <c r="AK5" s="219" t="s">
        <v>668</v>
      </c>
      <c r="AL5" s="219" t="s">
        <v>667</v>
      </c>
      <c r="AM5" s="219" t="s">
        <v>670</v>
      </c>
      <c r="AN5" s="219" t="s">
        <v>678</v>
      </c>
      <c r="AO5" s="219" t="s">
        <v>787</v>
      </c>
      <c r="AP5" s="219" t="s">
        <v>679</v>
      </c>
      <c r="AQ5" s="219" t="s">
        <v>856</v>
      </c>
    </row>
    <row r="6" spans="1:43" ht="15.75" x14ac:dyDescent="0.25">
      <c r="A6" s="97" t="s">
        <v>95</v>
      </c>
      <c r="B6" s="143">
        <v>0.25</v>
      </c>
      <c r="C6" s="279" t="s">
        <v>299</v>
      </c>
      <c r="D6" s="143">
        <v>-0.3</v>
      </c>
      <c r="E6" s="143" t="s">
        <v>740</v>
      </c>
      <c r="F6" s="12">
        <v>17</v>
      </c>
      <c r="G6" s="12">
        <f>10-1</f>
        <v>9</v>
      </c>
      <c r="H6" s="12">
        <v>17</v>
      </c>
      <c r="I6" s="221">
        <f>COUNTIF(Tab_Industry[Page], "&gt;0")</f>
        <v>29</v>
      </c>
      <c r="J6" s="12">
        <f>SUM(Tab_Industry[Time])</f>
        <v>17</v>
      </c>
      <c r="K6" s="12">
        <f>SUM(Tab_Industry[Inv])</f>
        <v>4</v>
      </c>
      <c r="L6" s="12">
        <f>SUM(Tab_Industry[Dep])</f>
        <v>13</v>
      </c>
      <c r="M6" s="12">
        <f>SUM(Tab_Industry[Targ])</f>
        <v>12</v>
      </c>
      <c r="N6" s="12">
        <f>SUM(Tab_Industry[Obl])</f>
        <v>11</v>
      </c>
      <c r="O6" s="222">
        <f>SUM(Tab_Industry[Dem-yes])</f>
        <v>13</v>
      </c>
      <c r="P6" s="12">
        <f>SUM(Tab_Industry[Dem-no])</f>
        <v>8</v>
      </c>
      <c r="Q6" s="12">
        <f t="shared" ref="Q6:Q11" si="0">I6-(O6+P6)</f>
        <v>8</v>
      </c>
      <c r="R6" s="12">
        <f>COUNTIF(Tab_Industry[Category],R5)</f>
        <v>5</v>
      </c>
      <c r="S6" s="12">
        <f>COUNTIF(Tab_Industry[Category],S5)</f>
        <v>7</v>
      </c>
      <c r="T6" s="12">
        <f>COUNTIF(Tab_Industry[Category],T5)</f>
        <v>1</v>
      </c>
      <c r="U6" s="12">
        <f>COUNTIF(Tab_Industry[Category],U5)</f>
        <v>4</v>
      </c>
      <c r="V6" s="12">
        <f>COUNTIF(Tab_Industry[Category],V5)</f>
        <v>0</v>
      </c>
      <c r="W6" s="12">
        <f>COUNTIF(Tab_Industry[Category],W5)</f>
        <v>0</v>
      </c>
      <c r="X6" s="12">
        <f>COUNTIF(Tab_Industry[Category],X5)</f>
        <v>5</v>
      </c>
      <c r="Y6" s="12">
        <f>COUNTIF(Tab_Industry[Category],Y5)</f>
        <v>2</v>
      </c>
      <c r="Z6" s="12">
        <f>Table26[[#This Row],[Database breakdown]]-SUM(Table26[[#This Row],[Investment]:[?]])</f>
        <v>5</v>
      </c>
      <c r="AA6" s="12">
        <f>COUNTIF(Tab_Industry[Dem-category],R5)</f>
        <v>3</v>
      </c>
      <c r="AB6" s="12">
        <f>COUNTIF(Tab_Industry[Dem-category],S5)</f>
        <v>4</v>
      </c>
      <c r="AC6" s="12">
        <f>COUNTIF(Tab_Industry[Dem-category],T5)</f>
        <v>0</v>
      </c>
      <c r="AD6" s="12">
        <f>COUNTIF(Tab_Industry[Dem-category],U5)</f>
        <v>2</v>
      </c>
      <c r="AE6" s="12">
        <f>COUNTIF(Tab_Industry[Dem-category],V5)</f>
        <v>0</v>
      </c>
      <c r="AF6" s="12">
        <f>COUNTIF(Tab_Industry[Dem-category],W5)</f>
        <v>0</v>
      </c>
      <c r="AG6" s="12">
        <f>COUNTIF(Tab_Industry[Dem-category],X5)</f>
        <v>3</v>
      </c>
      <c r="AH6" s="12">
        <f>COUNTIF(Tab_Industry[Dem-category],Y5)</f>
        <v>0</v>
      </c>
      <c r="AI6" s="12">
        <f>Table26[[#This Row],[Demand focus]]-SUM(Table26[[#This Row],[Dem-Investment]:[Dem-?]])</f>
        <v>1</v>
      </c>
      <c r="AJ6" s="12">
        <v>1</v>
      </c>
      <c r="AN6" s="12">
        <v>1</v>
      </c>
      <c r="AO6" s="12">
        <v>1</v>
      </c>
      <c r="AP6" s="12">
        <v>1</v>
      </c>
      <c r="AQ6" s="12"/>
    </row>
    <row r="7" spans="1:43" ht="15.75" x14ac:dyDescent="0.25">
      <c r="A7" s="98" t="s">
        <v>132</v>
      </c>
      <c r="B7" s="143">
        <v>0.13</v>
      </c>
      <c r="C7" s="279" t="s">
        <v>193</v>
      </c>
      <c r="D7" s="143">
        <v>-0.19</v>
      </c>
      <c r="E7" s="143" t="s">
        <v>749</v>
      </c>
      <c r="F7" s="12">
        <v>17</v>
      </c>
      <c r="G7" s="12">
        <f>21-10</f>
        <v>11</v>
      </c>
      <c r="H7" s="12">
        <v>18</v>
      </c>
      <c r="I7" s="221">
        <f>COUNTIF(Tab_Homes[Page], "&gt;0")</f>
        <v>40</v>
      </c>
      <c r="J7" s="12">
        <f>SUM(Tab_Homes[Time])</f>
        <v>28</v>
      </c>
      <c r="K7" s="12">
        <f>SUM(Tab_Homes[Inv])</f>
        <v>12</v>
      </c>
      <c r="L7" s="12">
        <f>SUM(Tab_Homes[Dep])</f>
        <v>15</v>
      </c>
      <c r="M7" s="12">
        <f>SUM(Tab_Homes[Targ])</f>
        <v>16</v>
      </c>
      <c r="N7" s="12">
        <f>SUM(Tab_Homes[Obl])</f>
        <v>13</v>
      </c>
      <c r="O7" s="222">
        <f>SUM(Tab_Homes[Dem-yes])</f>
        <v>23</v>
      </c>
      <c r="P7" s="12">
        <f>SUM(Tab_Homes[Dem-no])</f>
        <v>10</v>
      </c>
      <c r="Q7" s="12">
        <f t="shared" si="0"/>
        <v>7</v>
      </c>
      <c r="R7" s="12">
        <f>COUNTIF(Tab_Homes[Category],R5)</f>
        <v>14</v>
      </c>
      <c r="S7" s="12">
        <f>COUNTIF(Tab_Homes[Category],S5)</f>
        <v>7</v>
      </c>
      <c r="T7" s="12">
        <f>COUNTIF(Tab_Homes[Category],T5)</f>
        <v>0</v>
      </c>
      <c r="U7" s="12">
        <f>COUNTIF(Tab_Homes[Category],U5)</f>
        <v>7</v>
      </c>
      <c r="V7" s="12">
        <f>COUNTIF(Tab_Homes[Category],V5)</f>
        <v>0</v>
      </c>
      <c r="W7" s="12">
        <f>COUNTIF(Tab_Homes[Category],W5)</f>
        <v>2</v>
      </c>
      <c r="X7" s="12">
        <f>COUNTIF(Tab_Homes[Category],X5)</f>
        <v>1</v>
      </c>
      <c r="Y7" s="12">
        <f>COUNTIF(Tab_Homes[Category],Y5)</f>
        <v>2</v>
      </c>
      <c r="Z7" s="12">
        <f>Table26[[#This Row],[Database breakdown]]-SUM(Table26[[#This Row],[Investment]:[?]])</f>
        <v>7</v>
      </c>
      <c r="AA7" s="12">
        <f>COUNTIF(Tab_Homes[Dem-category],R5)</f>
        <v>4</v>
      </c>
      <c r="AB7" s="12">
        <f>COUNTIF(Tab_Homes[Dem-category],S5)</f>
        <v>5</v>
      </c>
      <c r="AC7" s="12">
        <f>COUNTIF(Tab_Homes[Dem-category],T5)</f>
        <v>0</v>
      </c>
      <c r="AD7" s="12">
        <f>COUNTIF(Tab_Homes[Dem-category],U5)</f>
        <v>5</v>
      </c>
      <c r="AE7" s="12">
        <f>COUNTIF(Tab_Homes[Dem-category],V5)</f>
        <v>0</v>
      </c>
      <c r="AF7" s="12">
        <f>COUNTIF(Tab_Homes[Dem-category],W5)</f>
        <v>2</v>
      </c>
      <c r="AG7" s="12">
        <f>COUNTIF(Tab_Homes[Dem-category],X5)</f>
        <v>0</v>
      </c>
      <c r="AH7" s="12">
        <f>COUNTIF(Tab_Homes[Dem-category],Y5)</f>
        <v>1</v>
      </c>
      <c r="AI7" s="12">
        <f>Table26[[#This Row],[Demand focus]]-SUM(Table26[[#This Row],[Dem-Investment]:[Dem-?]])</f>
        <v>6</v>
      </c>
      <c r="AP7" s="12"/>
      <c r="AQ7" s="12"/>
    </row>
    <row r="8" spans="1:43" ht="15.75" x14ac:dyDescent="0.25">
      <c r="A8" s="99" t="s">
        <v>212</v>
      </c>
      <c r="B8" s="143">
        <v>0.24</v>
      </c>
      <c r="C8" s="279" t="s">
        <v>277</v>
      </c>
      <c r="D8" s="143">
        <v>-0.28999999999999998</v>
      </c>
      <c r="E8" s="143" t="s">
        <v>740</v>
      </c>
      <c r="F8" s="12">
        <v>26</v>
      </c>
      <c r="G8" s="12">
        <f>31-21</f>
        <v>10</v>
      </c>
      <c r="H8" s="12">
        <v>14</v>
      </c>
      <c r="I8" s="221">
        <f>COUNTIF(Tab_Transport[Page], "&gt;0")</f>
        <v>50</v>
      </c>
      <c r="J8" s="12">
        <f>SUM(Tab_Transport[Time])</f>
        <v>36</v>
      </c>
      <c r="K8" s="12">
        <f>SUM(Tab_Transport[Inv])</f>
        <v>17</v>
      </c>
      <c r="L8" s="12">
        <f>SUM(Tab_Transport[Dep])</f>
        <v>11</v>
      </c>
      <c r="M8" s="12">
        <f>SUM(Tab_Transport[Targ])</f>
        <v>16</v>
      </c>
      <c r="N8" s="12">
        <f>SUM(Tab_Transport[Obl])</f>
        <v>9</v>
      </c>
      <c r="O8" s="222">
        <f>SUM(Tab_Transport[Dem-yes])</f>
        <v>11</v>
      </c>
      <c r="P8" s="12">
        <f>SUM(Tab_Transport[Dem-no])</f>
        <v>29</v>
      </c>
      <c r="Q8" s="12">
        <f t="shared" si="0"/>
        <v>10</v>
      </c>
      <c r="R8" s="12">
        <f>COUNTIF(Tab_Transport[Category],R5)</f>
        <v>22</v>
      </c>
      <c r="S8" s="12">
        <f>COUNTIF(Tab_Transport[Category],S5)</f>
        <v>4</v>
      </c>
      <c r="T8" s="12">
        <f>COUNTIF(Tab_Transport[Category],T5)</f>
        <v>1</v>
      </c>
      <c r="U8" s="12">
        <f>COUNTIF(Tab_Transport[Category],U5)</f>
        <v>10</v>
      </c>
      <c r="V8" s="12">
        <f>COUNTIF(Tab_Transport[Category],V5)</f>
        <v>1</v>
      </c>
      <c r="W8" s="12">
        <f>COUNTIF(Tab_Transport[Category],W5)</f>
        <v>0</v>
      </c>
      <c r="X8" s="12">
        <f>COUNTIF(Tab_Transport[Category],X5)</f>
        <v>1</v>
      </c>
      <c r="Y8" s="12">
        <f>COUNTIF(Tab_Transport[Category],Y5)</f>
        <v>5</v>
      </c>
      <c r="Z8" s="12">
        <f>Table26[[#This Row],[Database breakdown]]-SUM(Table26[[#This Row],[Investment]:[?]])</f>
        <v>6</v>
      </c>
      <c r="AA8" s="12">
        <f>COUNTIF(Tab_Transport[Dem-category],R5)</f>
        <v>4</v>
      </c>
      <c r="AB8" s="12">
        <f>COUNTIF(Tab_Transport[Dem-category],S5)</f>
        <v>2</v>
      </c>
      <c r="AC8" s="12">
        <f>COUNTIF(Tab_Transport[Dem-category],T5)</f>
        <v>0</v>
      </c>
      <c r="AD8" s="12">
        <f>COUNTIF(Tab_Transport[Dem-category],U5)</f>
        <v>1</v>
      </c>
      <c r="AE8" s="12">
        <f>COUNTIF(Tab_Transport[Dem-category],V5)</f>
        <v>0</v>
      </c>
      <c r="AF8" s="12">
        <f>COUNTIF(Tab_Transport[Dem-category],W5)</f>
        <v>0</v>
      </c>
      <c r="AG8" s="12">
        <f>COUNTIF(Tab_Transport[Dem-category],X5)</f>
        <v>0</v>
      </c>
      <c r="AH8" s="12">
        <f>COUNTIF(Tab_Transport[Dem-category],Y5)</f>
        <v>3</v>
      </c>
      <c r="AI8" s="12">
        <f>Table26[[#This Row],[Demand focus]]-SUM(Table26[[#This Row],[Dem-Investment]:[Dem-?]])</f>
        <v>1</v>
      </c>
      <c r="AJ8" s="12">
        <v>1</v>
      </c>
      <c r="AL8" s="12">
        <v>4</v>
      </c>
      <c r="AP8" s="12">
        <v>1</v>
      </c>
      <c r="AQ8" s="12">
        <v>2</v>
      </c>
    </row>
    <row r="9" spans="1:43" ht="15.75" x14ac:dyDescent="0.25">
      <c r="A9" s="100" t="s">
        <v>301</v>
      </c>
      <c r="B9" s="143">
        <v>0.21</v>
      </c>
      <c r="C9" s="279" t="s">
        <v>665</v>
      </c>
      <c r="D9" s="143">
        <v>-0.8</v>
      </c>
      <c r="E9" s="143" t="s">
        <v>750</v>
      </c>
      <c r="F9" s="12">
        <v>16</v>
      </c>
      <c r="G9" s="12">
        <f>37-31</f>
        <v>6</v>
      </c>
      <c r="H9" s="12">
        <v>11</v>
      </c>
      <c r="I9" s="221">
        <f>COUNTIF(Tab_Power[Page], "&gt;0")</f>
        <v>27</v>
      </c>
      <c r="J9" s="12">
        <f>SUM(Tab_Power[Time])</f>
        <v>17</v>
      </c>
      <c r="K9" s="12">
        <f>SUM(Tab_Power[Inv])</f>
        <v>10</v>
      </c>
      <c r="L9" s="12">
        <f>SUM(Tab_Power[Dep])</f>
        <v>9</v>
      </c>
      <c r="M9" s="12">
        <f>SUM(Tab_Power[Targ])</f>
        <v>11</v>
      </c>
      <c r="N9" s="12">
        <f>SUM(Tab_Power[Obl])</f>
        <v>8</v>
      </c>
      <c r="O9" s="222">
        <f>SUM(Tab_Power[Dem-yes])</f>
        <v>3</v>
      </c>
      <c r="P9" s="12">
        <f>SUM(Tab_Power[Dem-no])</f>
        <v>14</v>
      </c>
      <c r="Q9" s="12">
        <f t="shared" si="0"/>
        <v>10</v>
      </c>
      <c r="R9" s="12">
        <f>COUNTIF(Tab_Power[Category],R5)</f>
        <v>9</v>
      </c>
      <c r="S9" s="12">
        <f>COUNTIF(Tab_Power[Category],S5)</f>
        <v>2</v>
      </c>
      <c r="T9" s="12">
        <f>COUNTIF(Tab_Power[Category],T5)</f>
        <v>3</v>
      </c>
      <c r="U9" s="12">
        <f>COUNTIF(Tab_Power[Category],U5)</f>
        <v>5</v>
      </c>
      <c r="V9" s="12">
        <f>COUNTIF(Tab_Power[Category],V5)</f>
        <v>0</v>
      </c>
      <c r="W9" s="12">
        <f>COUNTIF(Tab_Power[Category],W5)</f>
        <v>1</v>
      </c>
      <c r="X9" s="12">
        <f>COUNTIF(Tab_Power[Category],X5)</f>
        <v>1</v>
      </c>
      <c r="Y9" s="12">
        <f>COUNTIF(Tab_Power[Category],Y5)</f>
        <v>3</v>
      </c>
      <c r="Z9" s="12">
        <f>Table26[[#This Row],[Database breakdown]]-SUM(Table26[[#This Row],[Investment]:[?]])</f>
        <v>3</v>
      </c>
      <c r="AA9" s="12">
        <f>COUNTIF(Tab_Power[Dem-category],R5)</f>
        <v>0</v>
      </c>
      <c r="AB9" s="12">
        <f>COUNTIF(Tab_Power[Dem-category],S5)</f>
        <v>1</v>
      </c>
      <c r="AC9" s="12">
        <f>COUNTIF(Tab_Power[Dem-category],T5)</f>
        <v>0</v>
      </c>
      <c r="AD9" s="12">
        <f>COUNTIF(Tab_Power[Dem-category],U5)</f>
        <v>1</v>
      </c>
      <c r="AE9" s="12">
        <f>COUNTIF(Tab_Power[Dem-category],V5)</f>
        <v>0</v>
      </c>
      <c r="AF9" s="12">
        <f>COUNTIF(Tab_Power[Dem-category],W5)</f>
        <v>1</v>
      </c>
      <c r="AG9" s="12">
        <f>COUNTIF(Tab_Power[Dem-category],X5)</f>
        <v>0</v>
      </c>
      <c r="AH9" s="12">
        <f>COUNTIF(Tab_Power[Dem-category],Y5)</f>
        <v>0</v>
      </c>
      <c r="AI9" s="12">
        <f>Table26[[#This Row],[Demand focus]]-SUM(Table26[[#This Row],[Dem-Investment]:[Dem-?]])</f>
        <v>0</v>
      </c>
      <c r="AL9" s="12">
        <v>1</v>
      </c>
      <c r="AP9" s="12"/>
      <c r="AQ9" s="12">
        <v>1</v>
      </c>
    </row>
    <row r="10" spans="1:43" ht="15.75" x14ac:dyDescent="0.25">
      <c r="A10" s="101" t="s">
        <v>359</v>
      </c>
      <c r="B10" s="143">
        <v>0.15</v>
      </c>
      <c r="C10" s="279" t="s">
        <v>395</v>
      </c>
      <c r="D10" s="143">
        <v>-0.26</v>
      </c>
      <c r="E10" s="143" t="s">
        <v>751</v>
      </c>
      <c r="F10" s="12">
        <v>22</v>
      </c>
      <c r="G10" s="12">
        <f>44-37</f>
        <v>7</v>
      </c>
      <c r="H10" s="12">
        <v>19</v>
      </c>
      <c r="I10" s="221">
        <f>COUNTIF(Tab_NatRes[Page], "&gt;0")</f>
        <v>46</v>
      </c>
      <c r="J10" s="12">
        <f>SUM(Tab_NatRes[Time])</f>
        <v>25</v>
      </c>
      <c r="K10" s="12">
        <f>SUM(Tab_NatRes[Inv])</f>
        <v>11</v>
      </c>
      <c r="L10" s="12">
        <f>SUM(Tab_NatRes[Dep])</f>
        <v>12</v>
      </c>
      <c r="M10" s="12">
        <f>SUM(Tab_NatRes[Targ])</f>
        <v>27</v>
      </c>
      <c r="N10" s="12">
        <f>SUM(Tab_NatRes[Obl])</f>
        <v>15</v>
      </c>
      <c r="O10" s="222">
        <f>SUM(Tab_NatRes[Dem-yes])</f>
        <v>0</v>
      </c>
      <c r="P10" s="12">
        <f>SUM(Tab_NatRes[Dem-no])</f>
        <v>17</v>
      </c>
      <c r="Q10" s="12">
        <f t="shared" si="0"/>
        <v>29</v>
      </c>
      <c r="R10" s="12">
        <f>COUNTIF(Tab_NatRes[Category],R5)</f>
        <v>22</v>
      </c>
      <c r="S10" s="12">
        <f>COUNTIF(Tab_NatRes[Category],S5)</f>
        <v>2</v>
      </c>
      <c r="T10" s="12">
        <f>COUNTIF(Tab_NatRes[Category],T5)</f>
        <v>6</v>
      </c>
      <c r="U10" s="12">
        <f>COUNTIF(Tab_NatRes[Category],U5)</f>
        <v>2</v>
      </c>
      <c r="V10" s="12">
        <f>COUNTIF(Tab_NatRes[Category],V5)</f>
        <v>0</v>
      </c>
      <c r="W10" s="12">
        <f>COUNTIF(Tab_NatRes[Category],W5)</f>
        <v>1</v>
      </c>
      <c r="X10" s="12">
        <f>COUNTIF(Tab_NatRes[Category],X5)</f>
        <v>7</v>
      </c>
      <c r="Y10" s="12">
        <f>COUNTIF(Tab_NatRes[Category],Y5)</f>
        <v>4</v>
      </c>
      <c r="Z10" s="12">
        <f>Table26[[#This Row],[Database breakdown]]-SUM(Table26[[#This Row],[Investment]:[?]])</f>
        <v>2</v>
      </c>
      <c r="AA10" s="12">
        <f>COUNTIF(Tab_NatRes[Dem-category],R5)</f>
        <v>0</v>
      </c>
      <c r="AB10" s="12">
        <f>COUNTIF(Tab_NatRes[Dem-category],S5)</f>
        <v>0</v>
      </c>
      <c r="AC10" s="12">
        <f>COUNTIF(Tab_NatRes[Dem-category],T5)</f>
        <v>0</v>
      </c>
      <c r="AD10" s="12">
        <f>COUNTIF(Tab_NatRes[Dem-category],U5)</f>
        <v>0</v>
      </c>
      <c r="AE10" s="12">
        <f>COUNTIF(Tab_NatRes[Dem-category],V5)</f>
        <v>0</v>
      </c>
      <c r="AF10" s="12">
        <f>COUNTIF(Tab_NatRes[Dem-category],W5)</f>
        <v>0</v>
      </c>
      <c r="AG10" s="12">
        <f>COUNTIF(Tab_NatRes[Dem-category],X5)</f>
        <v>0</v>
      </c>
      <c r="AH10" s="12">
        <f>COUNTIF(Tab_NatRes[Dem-category],Y5)</f>
        <v>0</v>
      </c>
      <c r="AI10" s="12">
        <f>Table26[[#This Row],[Demand focus]]-SUM(Table26[[#This Row],[Dem-Investment]:[Dem-?]])</f>
        <v>0</v>
      </c>
      <c r="AK10" s="12">
        <v>1</v>
      </c>
      <c r="AL10" s="12">
        <v>1</v>
      </c>
      <c r="AM10" s="12">
        <v>1</v>
      </c>
      <c r="AN10" s="12">
        <v>1</v>
      </c>
      <c r="AP10" s="12"/>
      <c r="AQ10" s="12">
        <v>4</v>
      </c>
    </row>
    <row r="11" spans="1:43" ht="15.75" x14ac:dyDescent="0.25">
      <c r="A11" s="102" t="s">
        <v>423</v>
      </c>
      <c r="B11" s="143">
        <v>0.02</v>
      </c>
      <c r="C11" s="279"/>
      <c r="D11" s="143">
        <v>-0.5</v>
      </c>
      <c r="E11" s="143" t="s">
        <v>752</v>
      </c>
      <c r="F11" s="12">
        <v>4</v>
      </c>
      <c r="G11" s="12">
        <v>6</v>
      </c>
      <c r="H11" s="12">
        <v>5</v>
      </c>
      <c r="I11" s="221">
        <f>COUNTIF(Tab_PubSec[Page], "&gt;0")</f>
        <v>14</v>
      </c>
      <c r="J11" s="12">
        <f>SUM(Tab_PubSec[Time])</f>
        <v>8</v>
      </c>
      <c r="K11" s="12">
        <f>SUM(Tab_PubSec[Inv])</f>
        <v>1</v>
      </c>
      <c r="L11" s="12">
        <f>SUM(Tab_PubSec[Dep])</f>
        <v>6</v>
      </c>
      <c r="M11" s="12">
        <f>SUM(Tab_PubSec[Targ])</f>
        <v>2</v>
      </c>
      <c r="N11" s="12">
        <f>SUM(Tab_PubSec[Targ])</f>
        <v>2</v>
      </c>
      <c r="O11" s="222">
        <f>SUM(Tab_PubSec[Dem-yes])</f>
        <v>2</v>
      </c>
      <c r="P11" s="12">
        <f>SUM(Tab_PubSec[Dem-no])</f>
        <v>2</v>
      </c>
      <c r="Q11" s="12">
        <f t="shared" si="0"/>
        <v>10</v>
      </c>
      <c r="R11" s="12">
        <f>COUNTIF(Tab_PubSec[Category],R5)</f>
        <v>5</v>
      </c>
      <c r="S11" s="12">
        <f>COUNTIF(Tab_PubSec[Category],S5)</f>
        <v>0</v>
      </c>
      <c r="T11" s="12">
        <f>COUNTIF(Tab_PubSec[Category],T5)</f>
        <v>3</v>
      </c>
      <c r="U11" s="12">
        <f>COUNTIF(Tab_PubSec[Category],U5)</f>
        <v>3</v>
      </c>
      <c r="V11" s="12">
        <f>COUNTIF(Tab_PubSec[Category],V5)</f>
        <v>1</v>
      </c>
      <c r="W11" s="12">
        <f>COUNTIF(Tab_PubSec[Category],W5)</f>
        <v>0</v>
      </c>
      <c r="X11" s="12">
        <f>COUNTIF(Tab_PubSec[Category],X5)</f>
        <v>0</v>
      </c>
      <c r="Y11" s="12">
        <f>COUNTIF(Tab_PubSec[Category],Y5)</f>
        <v>0</v>
      </c>
      <c r="Z11" s="12">
        <f>Table26[[#This Row],[Database breakdown]]-SUM(Table26[[#This Row],[Investment]:[?]])</f>
        <v>2</v>
      </c>
      <c r="AA11" s="12">
        <f>COUNTIF(Tab_PubSec[Dem-category],R5)</f>
        <v>2</v>
      </c>
      <c r="AB11" s="12">
        <f>COUNTIF(Tab_PubSec[Dem-category],S5)</f>
        <v>0</v>
      </c>
      <c r="AC11" s="12">
        <f>COUNTIF(Tab_PubSec[Dem-category],T5)</f>
        <v>0</v>
      </c>
      <c r="AD11" s="12">
        <f>COUNTIF(Tab_PubSec[Dem-category],U5)</f>
        <v>0</v>
      </c>
      <c r="AE11" s="12">
        <f>COUNTIF(Tab_PubSec[Dem-category],V5)</f>
        <v>0</v>
      </c>
      <c r="AF11" s="12">
        <f>COUNTIF(Tab_PubSec[Dem-category],W5)</f>
        <v>0</v>
      </c>
      <c r="AG11" s="12">
        <f>COUNTIF(Tab_PubSec[Dem-category],X5)</f>
        <v>0</v>
      </c>
      <c r="AH11" s="12">
        <f>COUNTIF(Tab_PubSec[Dem-category],Y5)</f>
        <v>0</v>
      </c>
      <c r="AI11" s="12">
        <f>Table26[[#This Row],[Demand focus]]-SUM(Table26[[#This Row],[Dem-Investment]:[Dem-?]])</f>
        <v>0</v>
      </c>
      <c r="AK11" s="12">
        <v>1</v>
      </c>
      <c r="AL11" s="12">
        <v>3</v>
      </c>
      <c r="AO11" s="12">
        <v>1</v>
      </c>
      <c r="AP11" s="12">
        <v>2</v>
      </c>
      <c r="AQ11" s="12">
        <v>1</v>
      </c>
    </row>
    <row r="12" spans="1:43" s="117" customFormat="1" ht="16.5" thickBot="1" x14ac:dyDescent="0.3">
      <c r="A12" s="276" t="s">
        <v>832</v>
      </c>
      <c r="B12" s="280">
        <f>SUM(B6:B11)</f>
        <v>1</v>
      </c>
      <c r="C12" s="277" t="s">
        <v>833</v>
      </c>
      <c r="D12" s="277"/>
      <c r="E12" s="278" t="s">
        <v>834</v>
      </c>
      <c r="F12" s="277">
        <f>SUM(F6:F11)</f>
        <v>102</v>
      </c>
      <c r="G12" s="277">
        <f t="shared" ref="G12:AQ12" si="1">SUM(G6:G11)</f>
        <v>49</v>
      </c>
      <c r="H12" s="277">
        <f t="shared" si="1"/>
        <v>84</v>
      </c>
      <c r="I12" s="277">
        <f t="shared" si="1"/>
        <v>206</v>
      </c>
      <c r="J12" s="277">
        <f t="shared" si="1"/>
        <v>131</v>
      </c>
      <c r="K12" s="277">
        <f t="shared" si="1"/>
        <v>55</v>
      </c>
      <c r="L12" s="277">
        <f t="shared" si="1"/>
        <v>66</v>
      </c>
      <c r="M12" s="277">
        <f t="shared" si="1"/>
        <v>84</v>
      </c>
      <c r="N12" s="277">
        <f t="shared" si="1"/>
        <v>58</v>
      </c>
      <c r="O12" s="277">
        <f t="shared" si="1"/>
        <v>52</v>
      </c>
      <c r="P12" s="277">
        <f t="shared" si="1"/>
        <v>80</v>
      </c>
      <c r="Q12" s="277">
        <f t="shared" si="1"/>
        <v>74</v>
      </c>
      <c r="R12" s="277">
        <f t="shared" si="1"/>
        <v>77</v>
      </c>
      <c r="S12" s="277">
        <f t="shared" si="1"/>
        <v>22</v>
      </c>
      <c r="T12" s="277">
        <f t="shared" si="1"/>
        <v>14</v>
      </c>
      <c r="U12" s="277">
        <f t="shared" si="1"/>
        <v>31</v>
      </c>
      <c r="V12" s="277">
        <f t="shared" si="1"/>
        <v>2</v>
      </c>
      <c r="W12" s="277">
        <f t="shared" si="1"/>
        <v>4</v>
      </c>
      <c r="X12" s="277">
        <f t="shared" si="1"/>
        <v>15</v>
      </c>
      <c r="Y12" s="277">
        <f t="shared" si="1"/>
        <v>16</v>
      </c>
      <c r="Z12" s="277">
        <f t="shared" si="1"/>
        <v>25</v>
      </c>
      <c r="AA12" s="277">
        <f t="shared" si="1"/>
        <v>13</v>
      </c>
      <c r="AB12" s="277">
        <f t="shared" si="1"/>
        <v>12</v>
      </c>
      <c r="AC12" s="277">
        <f t="shared" si="1"/>
        <v>0</v>
      </c>
      <c r="AD12" s="277">
        <f t="shared" si="1"/>
        <v>9</v>
      </c>
      <c r="AE12" s="277">
        <f t="shared" si="1"/>
        <v>0</v>
      </c>
      <c r="AF12" s="277">
        <f t="shared" si="1"/>
        <v>3</v>
      </c>
      <c r="AG12" s="277">
        <f t="shared" si="1"/>
        <v>3</v>
      </c>
      <c r="AH12" s="277">
        <f t="shared" si="1"/>
        <v>4</v>
      </c>
      <c r="AI12" s="277">
        <f t="shared" si="1"/>
        <v>8</v>
      </c>
      <c r="AJ12" s="277">
        <f t="shared" si="1"/>
        <v>2</v>
      </c>
      <c r="AK12" s="277">
        <f t="shared" si="1"/>
        <v>2</v>
      </c>
      <c r="AL12" s="277">
        <f t="shared" si="1"/>
        <v>9</v>
      </c>
      <c r="AM12" s="277">
        <f t="shared" si="1"/>
        <v>1</v>
      </c>
      <c r="AN12" s="277">
        <f t="shared" si="1"/>
        <v>2</v>
      </c>
      <c r="AO12" s="277">
        <f t="shared" si="1"/>
        <v>2</v>
      </c>
      <c r="AP12" s="277">
        <f t="shared" si="1"/>
        <v>4</v>
      </c>
      <c r="AQ12" s="277">
        <f t="shared" si="1"/>
        <v>8</v>
      </c>
    </row>
    <row r="13" spans="1:43" ht="19.5" thickTop="1" x14ac:dyDescent="0.3">
      <c r="C13" s="144"/>
      <c r="D13" s="144"/>
      <c r="F13" s="207"/>
      <c r="G13" s="207"/>
      <c r="J13" s="270">
        <f t="shared" ref="J13:O13" si="2">J12/$I$12</f>
        <v>0.63592233009708743</v>
      </c>
      <c r="K13" s="270">
        <f t="shared" si="2"/>
        <v>0.26699029126213591</v>
      </c>
      <c r="L13" s="270">
        <f t="shared" si="2"/>
        <v>0.32038834951456313</v>
      </c>
      <c r="M13" s="270">
        <f t="shared" si="2"/>
        <v>0.40776699029126212</v>
      </c>
      <c r="N13" s="270">
        <f t="shared" si="2"/>
        <v>0.28155339805825241</v>
      </c>
      <c r="O13" s="270">
        <f t="shared" si="2"/>
        <v>0.25242718446601942</v>
      </c>
      <c r="Q13" s="143"/>
      <c r="R13" s="143"/>
      <c r="S13" s="143"/>
      <c r="T13" s="143"/>
      <c r="U13" s="143"/>
      <c r="V13" s="143"/>
      <c r="W13" s="143"/>
      <c r="X13" s="143"/>
      <c r="Y13" s="143"/>
      <c r="Z13" s="143"/>
      <c r="AA13" s="143"/>
      <c r="AB13" s="143"/>
      <c r="AC13" s="143"/>
      <c r="AD13" s="143"/>
      <c r="AE13" s="143"/>
      <c r="AF13" s="143"/>
      <c r="AG13" s="143"/>
      <c r="AH13" s="143"/>
    </row>
    <row r="15" spans="1:43" ht="15.75" thickBot="1" x14ac:dyDescent="0.3"/>
    <row r="16" spans="1:43" ht="16.5" thickTop="1" thickBot="1" x14ac:dyDescent="0.3">
      <c r="J16" s="270">
        <f>J6/$I6</f>
        <v>0.58620689655172409</v>
      </c>
      <c r="K16" s="270">
        <f t="shared" ref="K16:N16" si="3">K6/$I6</f>
        <v>0.13793103448275862</v>
      </c>
      <c r="L16" s="270">
        <f t="shared" si="3"/>
        <v>0.44827586206896552</v>
      </c>
      <c r="M16" s="270">
        <f t="shared" si="3"/>
        <v>0.41379310344827586</v>
      </c>
      <c r="N16" s="270">
        <f t="shared" si="3"/>
        <v>0.37931034482758619</v>
      </c>
      <c r="R16" s="270">
        <f>R6/$I6</f>
        <v>0.17241379310344829</v>
      </c>
      <c r="S16" s="270">
        <f t="shared" ref="S16:Z16" si="4">S6/$I6</f>
        <v>0.2413793103448276</v>
      </c>
      <c r="T16" s="270">
        <f t="shared" si="4"/>
        <v>3.4482758620689655E-2</v>
      </c>
      <c r="U16" s="270">
        <f t="shared" si="4"/>
        <v>0.13793103448275862</v>
      </c>
      <c r="V16" s="270">
        <f t="shared" si="4"/>
        <v>0</v>
      </c>
      <c r="W16" s="270">
        <f t="shared" si="4"/>
        <v>0</v>
      </c>
      <c r="X16" s="270">
        <f t="shared" si="4"/>
        <v>0.17241379310344829</v>
      </c>
      <c r="Y16" s="270">
        <f t="shared" si="4"/>
        <v>6.8965517241379309E-2</v>
      </c>
      <c r="Z16" s="270">
        <f t="shared" si="4"/>
        <v>0.17241379310344829</v>
      </c>
    </row>
    <row r="17" spans="1:26" ht="16.5" thickTop="1" thickBot="1" x14ac:dyDescent="0.3">
      <c r="J17" s="270">
        <f t="shared" ref="J17:N21" si="5">J7/$I7</f>
        <v>0.7</v>
      </c>
      <c r="K17" s="270">
        <f t="shared" si="5"/>
        <v>0.3</v>
      </c>
      <c r="L17" s="270">
        <f t="shared" si="5"/>
        <v>0.375</v>
      </c>
      <c r="M17" s="270">
        <f t="shared" si="5"/>
        <v>0.4</v>
      </c>
      <c r="N17" s="270">
        <f t="shared" si="5"/>
        <v>0.32500000000000001</v>
      </c>
      <c r="R17" s="270">
        <f t="shared" ref="R17:Z21" si="6">R7/$I7</f>
        <v>0.35</v>
      </c>
      <c r="S17" s="270">
        <f t="shared" si="6"/>
        <v>0.17499999999999999</v>
      </c>
      <c r="T17" s="270">
        <f t="shared" si="6"/>
        <v>0</v>
      </c>
      <c r="U17" s="270">
        <f t="shared" si="6"/>
        <v>0.17499999999999999</v>
      </c>
      <c r="V17" s="270">
        <f t="shared" si="6"/>
        <v>0</v>
      </c>
      <c r="W17" s="270">
        <f t="shared" si="6"/>
        <v>0.05</v>
      </c>
      <c r="X17" s="270">
        <f t="shared" si="6"/>
        <v>2.5000000000000001E-2</v>
      </c>
      <c r="Y17" s="270">
        <f t="shared" si="6"/>
        <v>0.05</v>
      </c>
      <c r="Z17" s="270">
        <f t="shared" si="6"/>
        <v>0.17499999999999999</v>
      </c>
    </row>
    <row r="18" spans="1:26" ht="17.25" thickTop="1" thickBot="1" x14ac:dyDescent="0.3">
      <c r="A18" s="97" t="s">
        <v>95</v>
      </c>
      <c r="J18" s="270">
        <f t="shared" si="5"/>
        <v>0.72</v>
      </c>
      <c r="K18" s="270">
        <f t="shared" si="5"/>
        <v>0.34</v>
      </c>
      <c r="L18" s="270">
        <f t="shared" si="5"/>
        <v>0.22</v>
      </c>
      <c r="M18" s="270">
        <f t="shared" si="5"/>
        <v>0.32</v>
      </c>
      <c r="N18" s="270">
        <f t="shared" si="5"/>
        <v>0.18</v>
      </c>
      <c r="R18" s="270">
        <f t="shared" si="6"/>
        <v>0.44</v>
      </c>
      <c r="S18" s="270">
        <f t="shared" si="6"/>
        <v>0.08</v>
      </c>
      <c r="T18" s="270">
        <f t="shared" si="6"/>
        <v>0.02</v>
      </c>
      <c r="U18" s="270">
        <f t="shared" si="6"/>
        <v>0.2</v>
      </c>
      <c r="V18" s="270">
        <f t="shared" si="6"/>
        <v>0.02</v>
      </c>
      <c r="W18" s="270">
        <f t="shared" si="6"/>
        <v>0</v>
      </c>
      <c r="X18" s="270">
        <f t="shared" si="6"/>
        <v>0.02</v>
      </c>
      <c r="Y18" s="270">
        <f t="shared" si="6"/>
        <v>0.1</v>
      </c>
      <c r="Z18" s="270">
        <f t="shared" si="6"/>
        <v>0.12</v>
      </c>
    </row>
    <row r="19" spans="1:26" ht="16.5" thickTop="1" thickBot="1" x14ac:dyDescent="0.3">
      <c r="J19" s="270">
        <f t="shared" si="5"/>
        <v>0.62962962962962965</v>
      </c>
      <c r="K19" s="270">
        <f t="shared" si="5"/>
        <v>0.37037037037037035</v>
      </c>
      <c r="L19" s="270">
        <f t="shared" si="5"/>
        <v>0.33333333333333331</v>
      </c>
      <c r="M19" s="270">
        <f t="shared" si="5"/>
        <v>0.40740740740740738</v>
      </c>
      <c r="N19" s="270">
        <f t="shared" si="5"/>
        <v>0.29629629629629628</v>
      </c>
      <c r="R19" s="270">
        <f t="shared" si="6"/>
        <v>0.33333333333333331</v>
      </c>
      <c r="S19" s="270">
        <f t="shared" si="6"/>
        <v>7.407407407407407E-2</v>
      </c>
      <c r="T19" s="270">
        <f t="shared" si="6"/>
        <v>0.1111111111111111</v>
      </c>
      <c r="U19" s="270">
        <f t="shared" si="6"/>
        <v>0.18518518518518517</v>
      </c>
      <c r="V19" s="270">
        <f t="shared" si="6"/>
        <v>0</v>
      </c>
      <c r="W19" s="270">
        <f t="shared" si="6"/>
        <v>3.7037037037037035E-2</v>
      </c>
      <c r="X19" s="270">
        <f t="shared" si="6"/>
        <v>3.7037037037037035E-2</v>
      </c>
      <c r="Y19" s="270">
        <f t="shared" si="6"/>
        <v>0.1111111111111111</v>
      </c>
      <c r="Z19" s="270">
        <f t="shared" si="6"/>
        <v>0.1111111111111111</v>
      </c>
    </row>
    <row r="20" spans="1:26" ht="16.5" thickTop="1" thickBot="1" x14ac:dyDescent="0.3">
      <c r="J20" s="270">
        <f t="shared" si="5"/>
        <v>0.54347826086956519</v>
      </c>
      <c r="K20" s="270">
        <f t="shared" si="5"/>
        <v>0.2391304347826087</v>
      </c>
      <c r="L20" s="270">
        <f t="shared" si="5"/>
        <v>0.2608695652173913</v>
      </c>
      <c r="M20" s="270">
        <f t="shared" si="5"/>
        <v>0.58695652173913049</v>
      </c>
      <c r="N20" s="270">
        <f t="shared" si="5"/>
        <v>0.32608695652173914</v>
      </c>
      <c r="R20" s="270">
        <f t="shared" si="6"/>
        <v>0.47826086956521741</v>
      </c>
      <c r="S20" s="270">
        <f t="shared" si="6"/>
        <v>4.3478260869565216E-2</v>
      </c>
      <c r="T20" s="270">
        <f t="shared" si="6"/>
        <v>0.13043478260869565</v>
      </c>
      <c r="U20" s="270">
        <f t="shared" si="6"/>
        <v>4.3478260869565216E-2</v>
      </c>
      <c r="V20" s="270">
        <f t="shared" si="6"/>
        <v>0</v>
      </c>
      <c r="W20" s="270">
        <f t="shared" si="6"/>
        <v>2.1739130434782608E-2</v>
      </c>
      <c r="X20" s="270">
        <f t="shared" si="6"/>
        <v>0.15217391304347827</v>
      </c>
      <c r="Y20" s="270">
        <f t="shared" si="6"/>
        <v>8.6956521739130432E-2</v>
      </c>
      <c r="Z20" s="270">
        <f t="shared" si="6"/>
        <v>4.3478260869565216E-2</v>
      </c>
    </row>
    <row r="21" spans="1:26" ht="16.5" thickTop="1" thickBot="1" x14ac:dyDescent="0.3">
      <c r="J21" s="270">
        <f t="shared" si="5"/>
        <v>0.5714285714285714</v>
      </c>
      <c r="K21" s="270">
        <f t="shared" si="5"/>
        <v>7.1428571428571425E-2</v>
      </c>
      <c r="L21" s="270">
        <f t="shared" si="5"/>
        <v>0.42857142857142855</v>
      </c>
      <c r="M21" s="270">
        <f t="shared" si="5"/>
        <v>0.14285714285714285</v>
      </c>
      <c r="N21" s="270">
        <f t="shared" si="5"/>
        <v>0.14285714285714285</v>
      </c>
      <c r="R21" s="270">
        <f t="shared" si="6"/>
        <v>0.35714285714285715</v>
      </c>
      <c r="S21" s="270">
        <f t="shared" si="6"/>
        <v>0</v>
      </c>
      <c r="T21" s="270">
        <f t="shared" si="6"/>
        <v>0.21428571428571427</v>
      </c>
      <c r="U21" s="270">
        <f t="shared" si="6"/>
        <v>0.21428571428571427</v>
      </c>
      <c r="V21" s="270">
        <f t="shared" si="6"/>
        <v>7.1428571428571425E-2</v>
      </c>
      <c r="W21" s="270">
        <f t="shared" si="6"/>
        <v>0</v>
      </c>
      <c r="X21" s="270">
        <f t="shared" si="6"/>
        <v>0</v>
      </c>
      <c r="Y21" s="270">
        <f t="shared" si="6"/>
        <v>0</v>
      </c>
      <c r="Z21" s="270">
        <f t="shared" si="6"/>
        <v>0.14285714285714285</v>
      </c>
    </row>
    <row r="22" spans="1:26" ht="15.75" thickTop="1" x14ac:dyDescent="0.25">
      <c r="J22" s="270"/>
    </row>
    <row r="27" spans="1:26" ht="15.75" x14ac:dyDescent="0.25">
      <c r="A27" s="98" t="s">
        <v>132</v>
      </c>
    </row>
    <row r="35" spans="1:1" ht="15.75" x14ac:dyDescent="0.25">
      <c r="A35" s="99" t="s">
        <v>212</v>
      </c>
    </row>
    <row r="42" spans="1:1" ht="15.75" x14ac:dyDescent="0.25">
      <c r="A42" s="100" t="s">
        <v>301</v>
      </c>
    </row>
    <row r="50" spans="1:1" ht="15.75" x14ac:dyDescent="0.25">
      <c r="A50" s="101" t="s">
        <v>359</v>
      </c>
    </row>
    <row r="58" spans="1:1" ht="15.75" x14ac:dyDescent="0.25">
      <c r="A58" s="102" t="s">
        <v>423</v>
      </c>
    </row>
    <row r="65" spans="1:41" x14ac:dyDescent="0.25">
      <c r="A65" s="96" t="s">
        <v>832</v>
      </c>
    </row>
    <row r="66" spans="1:41" x14ac:dyDescent="0.25">
      <c r="A66" s="96"/>
    </row>
    <row r="67" spans="1:41" x14ac:dyDescent="0.25">
      <c r="A67" s="96"/>
    </row>
    <row r="68" spans="1:41" x14ac:dyDescent="0.25">
      <c r="A68" s="96"/>
    </row>
    <row r="75" spans="1:41" s="7" customFormat="1" ht="27" customHeight="1" x14ac:dyDescent="0.25">
      <c r="A75" s="224" t="s">
        <v>0</v>
      </c>
      <c r="B75" s="225" t="s">
        <v>802</v>
      </c>
      <c r="C75" s="224" t="s">
        <v>803</v>
      </c>
      <c r="D75" s="224" t="s">
        <v>804</v>
      </c>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row>
    <row r="76" spans="1:41" ht="15.75" x14ac:dyDescent="0.25">
      <c r="A76" s="172" t="s">
        <v>95</v>
      </c>
      <c r="B76" s="12">
        <f t="shared" ref="B76:B81" si="7">I6</f>
        <v>29</v>
      </c>
      <c r="C76" s="223">
        <f t="shared" ref="C76:C81" si="8">O6</f>
        <v>13</v>
      </c>
      <c r="D76" s="143">
        <f>C76/B76</f>
        <v>0.44827586206896552</v>
      </c>
      <c r="AL76"/>
      <c r="AM76"/>
      <c r="AN76"/>
      <c r="AO76"/>
    </row>
    <row r="77" spans="1:41" ht="15.75" x14ac:dyDescent="0.25">
      <c r="A77" s="173" t="s">
        <v>132</v>
      </c>
      <c r="B77" s="12">
        <f t="shared" si="7"/>
        <v>40</v>
      </c>
      <c r="C77" s="12">
        <f t="shared" si="8"/>
        <v>23</v>
      </c>
      <c r="D77" s="143">
        <f t="shared" ref="D77:D81" si="9">C77/B77</f>
        <v>0.57499999999999996</v>
      </c>
      <c r="AL77"/>
      <c r="AM77"/>
      <c r="AN77"/>
      <c r="AO77"/>
    </row>
    <row r="78" spans="1:41" ht="15.75" x14ac:dyDescent="0.25">
      <c r="A78" s="174" t="s">
        <v>212</v>
      </c>
      <c r="B78" s="12">
        <f t="shared" si="7"/>
        <v>50</v>
      </c>
      <c r="C78" s="12">
        <f t="shared" si="8"/>
        <v>11</v>
      </c>
      <c r="D78" s="143">
        <f t="shared" si="9"/>
        <v>0.22</v>
      </c>
      <c r="AL78"/>
      <c r="AM78"/>
      <c r="AN78"/>
      <c r="AO78"/>
    </row>
    <row r="79" spans="1:41" ht="15.75" x14ac:dyDescent="0.25">
      <c r="A79" s="175" t="s">
        <v>301</v>
      </c>
      <c r="B79" s="12">
        <f t="shared" si="7"/>
        <v>27</v>
      </c>
      <c r="C79" s="12">
        <f t="shared" si="8"/>
        <v>3</v>
      </c>
      <c r="D79" s="143">
        <f t="shared" si="9"/>
        <v>0.1111111111111111</v>
      </c>
      <c r="AL79"/>
      <c r="AM79"/>
      <c r="AN79"/>
      <c r="AO79"/>
    </row>
    <row r="80" spans="1:41" ht="15.75" x14ac:dyDescent="0.25">
      <c r="A80" s="176" t="s">
        <v>359</v>
      </c>
      <c r="B80" s="12">
        <f t="shared" si="7"/>
        <v>46</v>
      </c>
      <c r="C80" s="12">
        <f t="shared" si="8"/>
        <v>0</v>
      </c>
      <c r="D80" s="143">
        <f t="shared" si="9"/>
        <v>0</v>
      </c>
      <c r="AL80"/>
      <c r="AM80"/>
      <c r="AN80"/>
      <c r="AO80"/>
    </row>
    <row r="81" spans="1:41" ht="15.75" x14ac:dyDescent="0.25">
      <c r="A81" s="177" t="s">
        <v>423</v>
      </c>
      <c r="B81" s="12">
        <f t="shared" si="7"/>
        <v>14</v>
      </c>
      <c r="C81" s="12">
        <f t="shared" si="8"/>
        <v>2</v>
      </c>
      <c r="D81" s="143">
        <f t="shared" si="9"/>
        <v>0.14285714285714285</v>
      </c>
      <c r="AL81"/>
      <c r="AM81"/>
      <c r="AN81"/>
      <c r="AO81"/>
    </row>
    <row r="84" spans="1:41" x14ac:dyDescent="0.25">
      <c r="A84" t="s">
        <v>806</v>
      </c>
      <c r="B84" s="12" t="s">
        <v>721</v>
      </c>
      <c r="C84" s="12" t="s">
        <v>804</v>
      </c>
      <c r="D84" s="12" t="s">
        <v>666</v>
      </c>
      <c r="E84" s="12" t="s">
        <v>805</v>
      </c>
      <c r="G84" s="12" t="s">
        <v>865</v>
      </c>
    </row>
    <row r="85" spans="1:41" x14ac:dyDescent="0.25">
      <c r="A85" s="227" t="s">
        <v>1</v>
      </c>
      <c r="B85" s="12">
        <f>SUM(Table26[Investment])</f>
        <v>77</v>
      </c>
      <c r="C85" s="178">
        <f>B85/$B$94</f>
        <v>0.37378640776699029</v>
      </c>
      <c r="D85" s="12">
        <f>SUM(Table26[Dem-Investment])</f>
        <v>13</v>
      </c>
      <c r="E85" s="178">
        <f>D85/$D$94</f>
        <v>0.25</v>
      </c>
      <c r="G85" s="281">
        <f>Table6[[#This Row],[Demand focus]]/Table6[[#This Row],[Overall]]</f>
        <v>0.16883116883116883</v>
      </c>
    </row>
    <row r="86" spans="1:41" x14ac:dyDescent="0.25">
      <c r="A86" s="227" t="s">
        <v>19</v>
      </c>
      <c r="B86" s="12">
        <f>SUM(Table26[Information])</f>
        <v>22</v>
      </c>
      <c r="C86" s="178">
        <f t="shared" ref="C86:C94" si="10">B86/$B$94</f>
        <v>0.10679611650485436</v>
      </c>
      <c r="D86" s="12">
        <f>SUM(Table26[Dem-Information])</f>
        <v>12</v>
      </c>
      <c r="E86" s="178">
        <f t="shared" ref="E86:E94" si="11">D86/$D$94</f>
        <v>0.23076923076923078</v>
      </c>
      <c r="G86" s="281">
        <f>Table6[[#This Row],[Demand focus]]/Table6[[#This Row],[Overall]]</f>
        <v>0.54545454545454541</v>
      </c>
    </row>
    <row r="87" spans="1:41" x14ac:dyDescent="0.25">
      <c r="A87" s="227" t="s">
        <v>388</v>
      </c>
      <c r="B87" s="12">
        <f>SUM(Table26[Partnership])</f>
        <v>14</v>
      </c>
      <c r="C87" s="178">
        <f t="shared" si="10"/>
        <v>6.7961165048543687E-2</v>
      </c>
      <c r="D87" s="12">
        <f>SUM(Table26[Dem-Partner])</f>
        <v>0</v>
      </c>
      <c r="E87" s="178">
        <f t="shared" si="11"/>
        <v>0</v>
      </c>
      <c r="G87" s="281">
        <f>Table6[[#This Row],[Demand focus]]/Table6[[#This Row],[Overall]]</f>
        <v>0</v>
      </c>
    </row>
    <row r="88" spans="1:41" x14ac:dyDescent="0.25">
      <c r="A88" s="227" t="s">
        <v>785</v>
      </c>
      <c r="B88" s="12">
        <f>SUM(Table26[Regulatory])</f>
        <v>31</v>
      </c>
      <c r="C88" s="178">
        <f t="shared" si="10"/>
        <v>0.15048543689320387</v>
      </c>
      <c r="D88" s="12">
        <f>SUM(Table26[Dem-Regulatory])</f>
        <v>9</v>
      </c>
      <c r="E88" s="178">
        <f t="shared" si="11"/>
        <v>0.17307692307692307</v>
      </c>
      <c r="G88" s="281">
        <f>Table6[[#This Row],[Demand focus]]/Table6[[#This Row],[Overall]]</f>
        <v>0.29032258064516131</v>
      </c>
    </row>
    <row r="89" spans="1:41" x14ac:dyDescent="0.25">
      <c r="A89" s="227" t="s">
        <v>719</v>
      </c>
      <c r="B89" s="12">
        <f>SUM(Table26[Voluntary])</f>
        <v>2</v>
      </c>
      <c r="C89" s="178">
        <f t="shared" si="10"/>
        <v>9.7087378640776691E-3</v>
      </c>
      <c r="D89" s="12">
        <f>SUM(Table26[Dem-Voluntary])</f>
        <v>0</v>
      </c>
      <c r="E89" s="178">
        <f t="shared" si="11"/>
        <v>0</v>
      </c>
      <c r="G89" s="281">
        <f>Table6[[#This Row],[Demand focus]]/Table6[[#This Row],[Overall]]</f>
        <v>0</v>
      </c>
    </row>
    <row r="90" spans="1:41" x14ac:dyDescent="0.25">
      <c r="A90" s="227" t="s">
        <v>512</v>
      </c>
      <c r="B90" s="12">
        <f>SUM(Table26[Market])</f>
        <v>4</v>
      </c>
      <c r="C90" s="178">
        <f t="shared" si="10"/>
        <v>1.9417475728155338E-2</v>
      </c>
      <c r="D90" s="12">
        <f>SUM(Table26[Dem-Market])</f>
        <v>3</v>
      </c>
      <c r="E90" s="178">
        <f t="shared" si="11"/>
        <v>5.7692307692307696E-2</v>
      </c>
      <c r="G90" s="281">
        <f>Table6[[#This Row],[Demand focus]]/Table6[[#This Row],[Overall]]</f>
        <v>0.75</v>
      </c>
    </row>
    <row r="91" spans="1:41" x14ac:dyDescent="0.25">
      <c r="A91" s="227" t="s">
        <v>784</v>
      </c>
      <c r="B91" s="12">
        <f>SUM(Table26[Fiscal])</f>
        <v>15</v>
      </c>
      <c r="C91" s="178">
        <f t="shared" si="10"/>
        <v>7.281553398058252E-2</v>
      </c>
      <c r="D91" s="12">
        <f>SUM(Table26[Dem-Fiscal])</f>
        <v>3</v>
      </c>
      <c r="E91" s="178">
        <f t="shared" si="11"/>
        <v>5.7692307692307696E-2</v>
      </c>
      <c r="G91" s="281">
        <f>Table6[[#This Row],[Demand focus]]/Table6[[#This Row],[Overall]]</f>
        <v>0.2</v>
      </c>
    </row>
    <row r="92" spans="1:41" x14ac:dyDescent="0.25">
      <c r="A92" s="227" t="s">
        <v>14</v>
      </c>
      <c r="B92" s="12">
        <f>SUM(Table26[?])</f>
        <v>16</v>
      </c>
      <c r="C92" s="178">
        <f t="shared" si="10"/>
        <v>7.7669902912621352E-2</v>
      </c>
      <c r="D92" s="12">
        <f>SUM(Table26[Dem-?])</f>
        <v>4</v>
      </c>
      <c r="E92" s="178">
        <f t="shared" si="11"/>
        <v>7.6923076923076927E-2</v>
      </c>
      <c r="G92" s="281">
        <f>Table6[[#This Row],[Demand focus]]/Table6[[#This Row],[Overall]]</f>
        <v>0.25</v>
      </c>
    </row>
    <row r="93" spans="1:41" x14ac:dyDescent="0.25">
      <c r="A93" s="227" t="s">
        <v>788</v>
      </c>
      <c r="B93" s="12">
        <f>SUM(Table26[Various / other])</f>
        <v>25</v>
      </c>
      <c r="C93" s="178">
        <f t="shared" si="10"/>
        <v>0.12135922330097088</v>
      </c>
      <c r="D93" s="12">
        <f>SUM(Table26[Dem-Various/other])</f>
        <v>8</v>
      </c>
      <c r="E93" s="178">
        <f t="shared" si="11"/>
        <v>0.15384615384615385</v>
      </c>
      <c r="G93" s="281">
        <f>Table6[[#This Row],[Demand focus]]/Table6[[#This Row],[Overall]]</f>
        <v>0.32</v>
      </c>
    </row>
    <row r="94" spans="1:41" x14ac:dyDescent="0.25">
      <c r="B94" s="12">
        <f>SUM(B85:B93)</f>
        <v>206</v>
      </c>
      <c r="C94" s="178">
        <f t="shared" si="10"/>
        <v>1</v>
      </c>
      <c r="D94" s="12">
        <f>SUM(D85:D93)</f>
        <v>52</v>
      </c>
      <c r="E94" s="178">
        <f t="shared" si="11"/>
        <v>1</v>
      </c>
      <c r="G94" s="281">
        <f>Table6[[#This Row],[Demand focus]]/Table6[[#This Row],[Overall]]</f>
        <v>0.25242718446601942</v>
      </c>
    </row>
    <row r="97" spans="4:4" x14ac:dyDescent="0.25">
      <c r="D97" s="282"/>
    </row>
  </sheetData>
  <mergeCells count="7">
    <mergeCell ref="B4:E4"/>
    <mergeCell ref="AJ4:AQ4"/>
    <mergeCell ref="F4:I4"/>
    <mergeCell ref="J4:N4"/>
    <mergeCell ref="O4:Q4"/>
    <mergeCell ref="R4:Z4"/>
    <mergeCell ref="AA4:AI4"/>
  </mergeCells>
  <pageMargins left="0.7" right="0.7" top="0.75" bottom="0.75" header="0.3" footer="0.3"/>
  <pageSetup paperSize="9" orientation="portrait" r:id="rId1"/>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N40"/>
  <sheetViews>
    <sheetView topLeftCell="A40" zoomScale="70" zoomScaleNormal="70" workbookViewId="0">
      <selection activeCell="A46" sqref="A46"/>
    </sheetView>
  </sheetViews>
  <sheetFormatPr defaultRowHeight="15" x14ac:dyDescent="0.25"/>
  <cols>
    <col min="1" max="1" width="33" style="42" bestFit="1" customWidth="1"/>
    <col min="2" max="2" width="5.42578125" style="163" customWidth="1"/>
    <col min="3" max="3" width="50.7109375" customWidth="1"/>
    <col min="4" max="4" width="25" style="244" customWidth="1"/>
    <col min="5" max="5" width="3.140625" style="95" customWidth="1"/>
    <col min="6" max="6" width="6.85546875" style="163" customWidth="1"/>
    <col min="7" max="7" width="50.7109375" customWidth="1"/>
    <col min="8" max="8" width="14.42578125" style="244" bestFit="1" customWidth="1"/>
    <col min="12" max="12" width="68.7109375" customWidth="1"/>
    <col min="13" max="13" width="11.85546875" customWidth="1"/>
  </cols>
  <sheetData>
    <row r="1" spans="1:9" ht="23.25" x14ac:dyDescent="0.35">
      <c r="A1" s="129" t="s">
        <v>908</v>
      </c>
    </row>
    <row r="2" spans="1:9" ht="18.75" x14ac:dyDescent="0.3">
      <c r="A2" s="207" t="s">
        <v>907</v>
      </c>
    </row>
    <row r="4" spans="1:9" s="137" customFormat="1" ht="18.75" x14ac:dyDescent="0.3">
      <c r="A4" s="148"/>
      <c r="B4" s="338" t="s">
        <v>724</v>
      </c>
      <c r="C4" s="338"/>
      <c r="D4" s="338"/>
      <c r="E4" s="145"/>
      <c r="F4" s="338" t="s">
        <v>725</v>
      </c>
      <c r="G4" s="338"/>
      <c r="H4" s="338"/>
    </row>
    <row r="5" spans="1:9" x14ac:dyDescent="0.25">
      <c r="A5" s="149"/>
      <c r="B5" s="162" t="s">
        <v>701</v>
      </c>
      <c r="C5" s="146" t="s">
        <v>9</v>
      </c>
      <c r="D5" s="228" t="s">
        <v>726</v>
      </c>
      <c r="E5" s="146"/>
      <c r="F5" s="162" t="s">
        <v>701</v>
      </c>
      <c r="G5" s="146" t="s">
        <v>9</v>
      </c>
      <c r="H5" s="228" t="s">
        <v>726</v>
      </c>
    </row>
    <row r="6" spans="1:9" s="155" customFormat="1" ht="30" x14ac:dyDescent="0.25">
      <c r="A6" s="339" t="s">
        <v>95</v>
      </c>
      <c r="B6" s="147">
        <v>9</v>
      </c>
      <c r="C6" s="153" t="s">
        <v>722</v>
      </c>
      <c r="D6" s="229">
        <v>18000000</v>
      </c>
      <c r="E6" s="199"/>
      <c r="F6" s="147" t="s">
        <v>723</v>
      </c>
      <c r="G6" s="154" t="s">
        <v>129</v>
      </c>
      <c r="H6" s="229">
        <v>100000000</v>
      </c>
    </row>
    <row r="7" spans="1:9" s="155" customFormat="1" ht="45" x14ac:dyDescent="0.25">
      <c r="A7" s="339"/>
      <c r="B7" s="147" t="s">
        <v>723</v>
      </c>
      <c r="C7" s="153" t="s">
        <v>782</v>
      </c>
      <c r="D7" s="229">
        <v>9200000</v>
      </c>
      <c r="E7" s="199"/>
      <c r="F7" s="147"/>
      <c r="G7" s="152"/>
      <c r="H7" s="245"/>
    </row>
    <row r="8" spans="1:9" s="157" customFormat="1" x14ac:dyDescent="0.25">
      <c r="A8" s="339"/>
      <c r="B8" s="150"/>
      <c r="C8" s="156" t="s">
        <v>763</v>
      </c>
      <c r="D8" s="230">
        <f>SUM(D6:D7)</f>
        <v>27200000</v>
      </c>
      <c r="E8" s="200"/>
      <c r="F8" s="150"/>
      <c r="G8" s="156" t="s">
        <v>764</v>
      </c>
      <c r="H8" s="230">
        <f>SUM(H6:H7)</f>
        <v>100000000</v>
      </c>
    </row>
    <row r="9" spans="1:9" s="155" customFormat="1" ht="45" x14ac:dyDescent="0.25">
      <c r="A9" s="340" t="s">
        <v>132</v>
      </c>
      <c r="B9" s="168" t="s">
        <v>140</v>
      </c>
      <c r="C9" s="169" t="s">
        <v>766</v>
      </c>
      <c r="D9" s="231">
        <v>3600000000</v>
      </c>
      <c r="E9" s="201"/>
      <c r="F9" s="168" t="s">
        <v>178</v>
      </c>
      <c r="G9" s="169" t="s">
        <v>767</v>
      </c>
      <c r="H9" s="231">
        <v>4500000000</v>
      </c>
    </row>
    <row r="10" spans="1:9" s="155" customFormat="1" ht="30" x14ac:dyDescent="0.25">
      <c r="A10" s="340"/>
      <c r="B10" s="168" t="s">
        <v>723</v>
      </c>
      <c r="C10" s="170" t="s">
        <v>300</v>
      </c>
      <c r="D10" s="232">
        <v>70000000</v>
      </c>
      <c r="E10" s="199"/>
      <c r="F10" s="168" t="s">
        <v>114</v>
      </c>
      <c r="G10" s="170" t="s">
        <v>183</v>
      </c>
      <c r="H10" s="232">
        <v>10000000</v>
      </c>
    </row>
    <row r="11" spans="1:9" s="155" customFormat="1" ht="45" x14ac:dyDescent="0.25">
      <c r="A11" s="340"/>
      <c r="B11" s="168" t="s">
        <v>723</v>
      </c>
      <c r="C11" s="169" t="s">
        <v>194</v>
      </c>
      <c r="D11" s="232">
        <v>10000000</v>
      </c>
      <c r="E11" s="199"/>
      <c r="F11" s="151" t="s">
        <v>723</v>
      </c>
      <c r="G11" s="158" t="s">
        <v>195</v>
      </c>
      <c r="H11" s="232">
        <v>10000000</v>
      </c>
    </row>
    <row r="12" spans="1:9" s="155" customFormat="1" ht="45" x14ac:dyDescent="0.25">
      <c r="A12" s="340"/>
      <c r="B12" s="151" t="s">
        <v>723</v>
      </c>
      <c r="C12" s="159" t="s">
        <v>203</v>
      </c>
      <c r="D12" s="232">
        <v>19000000</v>
      </c>
      <c r="E12" s="199"/>
      <c r="F12" s="151" t="s">
        <v>723</v>
      </c>
      <c r="G12" s="159" t="s">
        <v>204</v>
      </c>
      <c r="H12" s="232">
        <v>25000000</v>
      </c>
    </row>
    <row r="13" spans="1:9" s="157" customFormat="1" x14ac:dyDescent="0.25">
      <c r="A13" s="340"/>
      <c r="B13" s="164"/>
      <c r="C13" s="160" t="s">
        <v>763</v>
      </c>
      <c r="D13" s="233">
        <f>SUM(D10:D12)</f>
        <v>99000000</v>
      </c>
      <c r="E13" s="200"/>
      <c r="F13" s="164"/>
      <c r="G13" s="160" t="s">
        <v>764</v>
      </c>
      <c r="H13" s="233">
        <f>SUM(H10:H12)</f>
        <v>45000000</v>
      </c>
    </row>
    <row r="14" spans="1:9" s="157" customFormat="1" ht="45" x14ac:dyDescent="0.25">
      <c r="A14" s="341" t="s">
        <v>31</v>
      </c>
      <c r="B14" s="165">
        <v>16</v>
      </c>
      <c r="C14" s="191" t="s">
        <v>480</v>
      </c>
      <c r="D14" s="234">
        <v>1200000000</v>
      </c>
      <c r="E14" s="200" t="s">
        <v>467</v>
      </c>
      <c r="F14" s="267" t="s">
        <v>216</v>
      </c>
      <c r="G14" s="258" t="s">
        <v>217</v>
      </c>
      <c r="H14" s="259">
        <v>1000000000</v>
      </c>
      <c r="I14" s="255" t="s">
        <v>467</v>
      </c>
    </row>
    <row r="15" spans="1:9" s="157" customFormat="1" ht="75" x14ac:dyDescent="0.25">
      <c r="A15" s="342"/>
      <c r="B15" s="167"/>
      <c r="C15" s="192"/>
      <c r="D15" s="235"/>
      <c r="E15" s="200"/>
      <c r="F15" s="256">
        <v>5</v>
      </c>
      <c r="G15" s="263" t="s">
        <v>226</v>
      </c>
      <c r="H15" s="235">
        <v>29800000</v>
      </c>
    </row>
    <row r="16" spans="1:9" s="157" customFormat="1" ht="30" x14ac:dyDescent="0.25">
      <c r="A16" s="342"/>
      <c r="B16" s="257"/>
      <c r="C16" s="265"/>
      <c r="D16" s="266"/>
      <c r="E16" s="200"/>
      <c r="F16" s="256" t="s">
        <v>232</v>
      </c>
      <c r="G16" s="191" t="s">
        <v>231</v>
      </c>
      <c r="H16" s="235">
        <v>50000000</v>
      </c>
    </row>
    <row r="17" spans="1:14" s="157" customFormat="1" ht="30" x14ac:dyDescent="0.25">
      <c r="A17" s="342"/>
      <c r="B17" s="257"/>
      <c r="C17" s="265"/>
      <c r="D17" s="266"/>
      <c r="E17" s="200"/>
      <c r="F17" s="256">
        <v>17</v>
      </c>
      <c r="G17" s="264" t="s">
        <v>762</v>
      </c>
      <c r="H17" s="235">
        <v>100000000</v>
      </c>
    </row>
    <row r="18" spans="1:14" s="157" customFormat="1" ht="45" x14ac:dyDescent="0.25">
      <c r="A18" s="342"/>
      <c r="B18" s="257"/>
      <c r="C18" s="265"/>
      <c r="D18" s="266"/>
      <c r="E18" s="200"/>
      <c r="F18" s="256">
        <v>22</v>
      </c>
      <c r="G18" s="190" t="s">
        <v>471</v>
      </c>
      <c r="H18" s="235">
        <v>22000000</v>
      </c>
    </row>
    <row r="19" spans="1:14" s="157" customFormat="1" ht="45" x14ac:dyDescent="0.25">
      <c r="A19" s="342"/>
      <c r="B19" s="257"/>
      <c r="C19" s="265"/>
      <c r="D19" s="266"/>
      <c r="E19" s="200"/>
      <c r="F19" s="167" t="s">
        <v>269</v>
      </c>
      <c r="G19" s="192" t="s">
        <v>765</v>
      </c>
      <c r="H19" s="236">
        <v>3900000000</v>
      </c>
    </row>
    <row r="20" spans="1:14" s="155" customFormat="1" ht="45" x14ac:dyDescent="0.25">
      <c r="A20" s="342"/>
      <c r="B20" s="166"/>
      <c r="C20" s="166"/>
      <c r="D20" s="166"/>
      <c r="E20" s="199"/>
      <c r="F20" s="256" t="s">
        <v>723</v>
      </c>
      <c r="G20" s="263" t="s">
        <v>279</v>
      </c>
      <c r="H20" s="235">
        <v>246000000</v>
      </c>
    </row>
    <row r="21" spans="1:14" s="155" customFormat="1" ht="30" x14ac:dyDescent="0.25">
      <c r="A21" s="342"/>
      <c r="B21" s="166"/>
      <c r="C21" s="166"/>
      <c r="D21" s="166"/>
      <c r="E21" s="199"/>
      <c r="F21" s="256" t="s">
        <v>723</v>
      </c>
      <c r="G21" s="264" t="s">
        <v>280</v>
      </c>
      <c r="H21" s="235">
        <v>10000000</v>
      </c>
    </row>
    <row r="22" spans="1:14" s="155" customFormat="1" ht="30" x14ac:dyDescent="0.25">
      <c r="A22" s="342"/>
      <c r="B22" s="165"/>
      <c r="C22" s="191"/>
      <c r="D22" s="235"/>
      <c r="E22" s="199"/>
      <c r="F22" s="256" t="s">
        <v>723</v>
      </c>
      <c r="G22" s="264" t="s">
        <v>286</v>
      </c>
      <c r="H22" s="235">
        <v>40000000</v>
      </c>
    </row>
    <row r="23" spans="1:14" s="155" customFormat="1" ht="45" x14ac:dyDescent="0.25">
      <c r="A23" s="342"/>
      <c r="B23" s="166"/>
      <c r="C23" s="166"/>
      <c r="D23" s="166"/>
      <c r="E23" s="201"/>
      <c r="F23" s="256" t="s">
        <v>723</v>
      </c>
      <c r="G23" s="263" t="s">
        <v>470</v>
      </c>
      <c r="H23" s="235">
        <v>20000000</v>
      </c>
    </row>
    <row r="24" spans="1:14" s="155" customFormat="1" ht="75" x14ac:dyDescent="0.25">
      <c r="A24" s="342"/>
      <c r="B24" s="167"/>
      <c r="C24" s="193"/>
      <c r="D24" s="237"/>
      <c r="E24" s="202"/>
      <c r="F24" s="256" t="s">
        <v>723</v>
      </c>
      <c r="G24" s="264" t="s">
        <v>603</v>
      </c>
      <c r="H24" s="235">
        <v>20000000</v>
      </c>
    </row>
    <row r="25" spans="1:14" s="155" customFormat="1" ht="15" customHeight="1" x14ac:dyDescent="0.25">
      <c r="A25" s="343"/>
      <c r="B25" s="183"/>
      <c r="C25" s="184" t="s">
        <v>823</v>
      </c>
      <c r="D25" s="238">
        <f>SUM(D14:D22)</f>
        <v>1200000000</v>
      </c>
      <c r="E25" s="203" t="s">
        <v>467</v>
      </c>
      <c r="F25" s="260"/>
      <c r="G25" s="261" t="s">
        <v>822</v>
      </c>
      <c r="H25" s="262">
        <f>SUM(H14:H18)+SUM(H20:H24)</f>
        <v>1537800000</v>
      </c>
      <c r="I25" s="155" t="s">
        <v>467</v>
      </c>
    </row>
    <row r="26" spans="1:14" s="155" customFormat="1" ht="45" x14ac:dyDescent="0.25">
      <c r="A26" s="337" t="s">
        <v>301</v>
      </c>
      <c r="B26" s="179">
        <v>16</v>
      </c>
      <c r="C26" s="194" t="s">
        <v>331</v>
      </c>
      <c r="D26" s="239">
        <v>5400000</v>
      </c>
      <c r="E26" s="199"/>
      <c r="F26" s="179" t="s">
        <v>90</v>
      </c>
      <c r="G26" s="189" t="s">
        <v>639</v>
      </c>
      <c r="H26" s="246">
        <v>557000000</v>
      </c>
      <c r="I26" s="155" t="s">
        <v>467</v>
      </c>
    </row>
    <row r="27" spans="1:14" s="155" customFormat="1" ht="45" x14ac:dyDescent="0.25">
      <c r="A27" s="337"/>
      <c r="B27" s="179"/>
      <c r="C27" s="180"/>
      <c r="D27" s="240"/>
      <c r="E27" s="204"/>
      <c r="F27" s="179" t="s">
        <v>723</v>
      </c>
      <c r="G27" s="189" t="s">
        <v>338</v>
      </c>
      <c r="H27" s="239">
        <v>460000000</v>
      </c>
    </row>
    <row r="28" spans="1:14" s="155" customFormat="1" ht="30" x14ac:dyDescent="0.25">
      <c r="A28" s="337"/>
      <c r="B28" s="179"/>
      <c r="C28" s="180"/>
      <c r="D28" s="240"/>
      <c r="E28" s="204"/>
      <c r="F28" s="179" t="s">
        <v>723</v>
      </c>
      <c r="G28" s="189" t="s">
        <v>341</v>
      </c>
      <c r="H28" s="239">
        <v>7000000</v>
      </c>
      <c r="N28" s="161"/>
    </row>
    <row r="29" spans="1:14" s="155" customFormat="1" ht="60" x14ac:dyDescent="0.25">
      <c r="A29" s="337"/>
      <c r="B29" s="179"/>
      <c r="C29" s="180"/>
      <c r="D29" s="240"/>
      <c r="E29" s="204"/>
      <c r="F29" s="179" t="s">
        <v>723</v>
      </c>
      <c r="G29" s="189" t="s">
        <v>773</v>
      </c>
      <c r="H29" s="239">
        <v>177000000</v>
      </c>
    </row>
    <row r="30" spans="1:14" s="155" customFormat="1" x14ac:dyDescent="0.25">
      <c r="A30" s="337"/>
      <c r="B30" s="179"/>
      <c r="C30" s="181" t="s">
        <v>763</v>
      </c>
      <c r="D30" s="241">
        <f>SUM(D26:D29)</f>
        <v>5400000</v>
      </c>
      <c r="E30" s="200"/>
      <c r="F30" s="182"/>
      <c r="G30" s="181" t="s">
        <v>764</v>
      </c>
      <c r="H30" s="241">
        <f>SUM(H26:H29)</f>
        <v>1201000000</v>
      </c>
      <c r="I30" s="155" t="s">
        <v>467</v>
      </c>
    </row>
    <row r="31" spans="1:14" ht="15.75" x14ac:dyDescent="0.25">
      <c r="A31" s="185" t="s">
        <v>359</v>
      </c>
      <c r="B31" s="187"/>
      <c r="C31" s="195" t="s">
        <v>777</v>
      </c>
      <c r="D31" s="242"/>
      <c r="E31" s="205"/>
      <c r="F31" s="187"/>
      <c r="G31" s="197" t="s">
        <v>777</v>
      </c>
      <c r="H31" s="242"/>
    </row>
    <row r="32" spans="1:14" ht="30" x14ac:dyDescent="0.25">
      <c r="A32" s="186" t="s">
        <v>423</v>
      </c>
      <c r="B32" s="188">
        <v>3</v>
      </c>
      <c r="C32" s="196" t="s">
        <v>781</v>
      </c>
      <c r="D32" s="243">
        <v>295000000</v>
      </c>
      <c r="E32" s="200"/>
      <c r="F32" s="188"/>
      <c r="G32" s="198" t="s">
        <v>777</v>
      </c>
      <c r="H32" s="247"/>
    </row>
    <row r="33" spans="1:7" x14ac:dyDescent="0.25">
      <c r="G33" s="108"/>
    </row>
    <row r="34" spans="1:7" x14ac:dyDescent="0.25">
      <c r="G34" s="108"/>
    </row>
    <row r="35" spans="1:7" x14ac:dyDescent="0.25">
      <c r="A35" s="309" t="s">
        <v>812</v>
      </c>
    </row>
    <row r="36" spans="1:7" x14ac:dyDescent="0.25">
      <c r="A36" s="307" t="s">
        <v>909</v>
      </c>
    </row>
    <row r="37" spans="1:7" x14ac:dyDescent="0.25">
      <c r="A37" s="308" t="s">
        <v>910</v>
      </c>
    </row>
    <row r="38" spans="1:7" x14ac:dyDescent="0.25">
      <c r="A38" s="307"/>
    </row>
    <row r="39" spans="1:7" x14ac:dyDescent="0.25">
      <c r="A39" s="307"/>
    </row>
    <row r="40" spans="1:7" x14ac:dyDescent="0.25">
      <c r="A40" s="307"/>
    </row>
  </sheetData>
  <mergeCells count="6">
    <mergeCell ref="A26:A30"/>
    <mergeCell ref="B4:D4"/>
    <mergeCell ref="A6:A8"/>
    <mergeCell ref="F4:H4"/>
    <mergeCell ref="A9:A13"/>
    <mergeCell ref="A14:A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J40"/>
  <sheetViews>
    <sheetView topLeftCell="A19" zoomScale="70" zoomScaleNormal="70" workbookViewId="0">
      <selection activeCell="C24" sqref="C24"/>
    </sheetView>
  </sheetViews>
  <sheetFormatPr defaultColWidth="8.85546875" defaultRowHeight="15" x14ac:dyDescent="0.25"/>
  <cols>
    <col min="1" max="1" width="7.42578125" style="12" customWidth="1"/>
    <col min="2" max="2" width="41.42578125" customWidth="1"/>
    <col min="3" max="3" width="15.7109375" customWidth="1"/>
    <col min="4" max="4" width="24.85546875" customWidth="1"/>
    <col min="5" max="5" width="46.85546875" customWidth="1"/>
    <col min="6" max="6" width="22" customWidth="1"/>
    <col min="7" max="7" width="17.7109375" customWidth="1"/>
    <col min="8" max="8" width="17" customWidth="1"/>
    <col min="9" max="9" width="20" customWidth="1"/>
    <col min="10" max="10" width="53.42578125" customWidth="1"/>
  </cols>
  <sheetData>
    <row r="1" spans="1:9" ht="23.25" x14ac:dyDescent="0.35">
      <c r="A1" s="251" t="s">
        <v>677</v>
      </c>
    </row>
    <row r="3" spans="1:9" s="7" customFormat="1" ht="55.5" customHeight="1" x14ac:dyDescent="0.25">
      <c r="A3" s="29" t="s">
        <v>2</v>
      </c>
      <c r="B3" s="30" t="s">
        <v>7</v>
      </c>
      <c r="C3" s="30" t="s">
        <v>0</v>
      </c>
      <c r="D3" s="30" t="s">
        <v>8</v>
      </c>
      <c r="E3" s="30" t="s">
        <v>9</v>
      </c>
      <c r="F3" s="30" t="s">
        <v>66</v>
      </c>
      <c r="G3" s="30" t="s">
        <v>4</v>
      </c>
      <c r="H3" s="30" t="s">
        <v>1</v>
      </c>
      <c r="I3" s="30" t="s">
        <v>3</v>
      </c>
    </row>
    <row r="4" spans="1:9" s="7" customFormat="1" ht="55.5" customHeight="1" x14ac:dyDescent="0.25">
      <c r="A4" s="11">
        <v>45</v>
      </c>
      <c r="B4" s="1" t="s">
        <v>445</v>
      </c>
      <c r="C4" s="1" t="s">
        <v>443</v>
      </c>
      <c r="D4" s="2" t="s">
        <v>446</v>
      </c>
      <c r="E4" s="271" t="s">
        <v>14</v>
      </c>
      <c r="F4" s="1" t="s">
        <v>14</v>
      </c>
      <c r="G4" s="1" t="s">
        <v>444</v>
      </c>
      <c r="H4" s="272"/>
      <c r="I4" s="1" t="s">
        <v>304</v>
      </c>
    </row>
    <row r="5" spans="1:9" s="1" customFormat="1" ht="69.75" customHeight="1" x14ac:dyDescent="0.25">
      <c r="A5" s="11">
        <v>49</v>
      </c>
      <c r="B5" s="5" t="s">
        <v>5</v>
      </c>
      <c r="C5" s="1" t="s">
        <v>6</v>
      </c>
      <c r="D5" s="1" t="s">
        <v>838</v>
      </c>
      <c r="E5" s="1" t="s">
        <v>12</v>
      </c>
      <c r="F5" s="1" t="s">
        <v>14</v>
      </c>
      <c r="G5" s="1" t="s">
        <v>10</v>
      </c>
    </row>
    <row r="6" spans="1:9" s="1" customFormat="1" ht="64.5" customHeight="1" x14ac:dyDescent="0.25">
      <c r="A6" s="11">
        <v>49</v>
      </c>
      <c r="B6" s="1" t="s">
        <v>62</v>
      </c>
      <c r="C6" s="1" t="s">
        <v>6</v>
      </c>
      <c r="D6" s="271" t="s">
        <v>130</v>
      </c>
      <c r="E6" s="271"/>
      <c r="F6" s="1" t="s">
        <v>14</v>
      </c>
      <c r="G6" s="1" t="s">
        <v>13</v>
      </c>
      <c r="H6" s="272"/>
      <c r="I6" s="1" t="s">
        <v>837</v>
      </c>
    </row>
    <row r="7" spans="1:9" s="1" customFormat="1" ht="45" x14ac:dyDescent="0.25">
      <c r="A7" s="11">
        <v>49</v>
      </c>
      <c r="B7" s="1" t="s">
        <v>63</v>
      </c>
      <c r="C7" s="1" t="s">
        <v>6</v>
      </c>
      <c r="D7" s="2" t="s">
        <v>15</v>
      </c>
      <c r="E7" s="271"/>
      <c r="F7" s="1" t="s">
        <v>14</v>
      </c>
      <c r="G7" s="271" t="s">
        <v>839</v>
      </c>
      <c r="H7" s="272"/>
    </row>
    <row r="8" spans="1:9" s="1" customFormat="1" ht="30" x14ac:dyDescent="0.25">
      <c r="A8" s="11">
        <v>49</v>
      </c>
      <c r="B8" s="1" t="s">
        <v>18</v>
      </c>
      <c r="D8" s="1" t="s">
        <v>71</v>
      </c>
      <c r="E8" s="271"/>
      <c r="F8" s="1" t="s">
        <v>14</v>
      </c>
      <c r="G8" s="271"/>
      <c r="H8" s="272" t="s">
        <v>17</v>
      </c>
    </row>
    <row r="9" spans="1:9" s="1" customFormat="1" ht="45" x14ac:dyDescent="0.25">
      <c r="A9" s="11">
        <v>49</v>
      </c>
      <c r="B9" s="1" t="s">
        <v>20</v>
      </c>
      <c r="D9" s="1" t="s">
        <v>19</v>
      </c>
      <c r="E9" s="1" t="s">
        <v>21</v>
      </c>
      <c r="F9" s="1" t="s">
        <v>14</v>
      </c>
      <c r="G9" s="271"/>
      <c r="H9" s="272"/>
    </row>
    <row r="10" spans="1:9" s="1" customFormat="1" ht="45" x14ac:dyDescent="0.25">
      <c r="A10" s="11">
        <v>49</v>
      </c>
      <c r="B10" s="1" t="s">
        <v>22</v>
      </c>
      <c r="C10" s="1" t="s">
        <v>6</v>
      </c>
      <c r="D10" s="1" t="s">
        <v>23</v>
      </c>
      <c r="E10" s="1" t="s">
        <v>24</v>
      </c>
      <c r="F10" s="1" t="s">
        <v>14</v>
      </c>
      <c r="G10" s="272"/>
      <c r="H10" s="272"/>
      <c r="I10" s="1" t="s">
        <v>25</v>
      </c>
    </row>
    <row r="11" spans="1:9" s="1" customFormat="1" ht="30" x14ac:dyDescent="0.25">
      <c r="A11" s="11">
        <v>50</v>
      </c>
      <c r="B11" s="4" t="s">
        <v>26</v>
      </c>
      <c r="D11" s="1" t="s">
        <v>73</v>
      </c>
      <c r="E11" s="1" t="s">
        <v>27</v>
      </c>
      <c r="F11" s="1" t="s">
        <v>14</v>
      </c>
      <c r="H11" s="1" t="s">
        <v>30</v>
      </c>
      <c r="I11" s="1" t="s">
        <v>50</v>
      </c>
    </row>
    <row r="12" spans="1:9" s="1" customFormat="1" ht="30" x14ac:dyDescent="0.25">
      <c r="A12" s="11">
        <v>50</v>
      </c>
      <c r="B12" s="4" t="s">
        <v>28</v>
      </c>
      <c r="D12" s="1" t="s">
        <v>74</v>
      </c>
      <c r="E12" s="1" t="s">
        <v>53</v>
      </c>
      <c r="F12" s="1" t="s">
        <v>14</v>
      </c>
      <c r="H12" s="1" t="s">
        <v>29</v>
      </c>
    </row>
    <row r="13" spans="1:9" s="1" customFormat="1" ht="30" x14ac:dyDescent="0.25">
      <c r="A13" s="11">
        <v>50</v>
      </c>
      <c r="B13" s="1" t="s">
        <v>51</v>
      </c>
      <c r="C13" s="1" t="s">
        <v>31</v>
      </c>
      <c r="D13" s="1" t="s">
        <v>72</v>
      </c>
      <c r="E13" s="1" t="s">
        <v>32</v>
      </c>
      <c r="F13" s="1" t="s">
        <v>68</v>
      </c>
      <c r="H13" s="1" t="s">
        <v>33</v>
      </c>
    </row>
    <row r="14" spans="1:9" s="1" customFormat="1" ht="30" x14ac:dyDescent="0.25">
      <c r="A14" s="274">
        <v>50</v>
      </c>
      <c r="B14" s="275" t="s">
        <v>54</v>
      </c>
      <c r="C14" s="275"/>
      <c r="D14" s="275"/>
      <c r="E14" s="275" t="s">
        <v>34</v>
      </c>
      <c r="F14" s="275" t="s">
        <v>14</v>
      </c>
      <c r="G14" s="275"/>
      <c r="H14" s="275" t="s">
        <v>35</v>
      </c>
      <c r="I14" s="275"/>
    </row>
    <row r="15" spans="1:9" s="1" customFormat="1" ht="45" x14ac:dyDescent="0.25">
      <c r="A15" s="274">
        <v>50</v>
      </c>
      <c r="B15" s="275" t="s">
        <v>55</v>
      </c>
      <c r="C15" s="275" t="s">
        <v>56</v>
      </c>
      <c r="D15" s="275" t="s">
        <v>1</v>
      </c>
      <c r="E15" s="275" t="s">
        <v>57</v>
      </c>
      <c r="F15" s="275" t="s">
        <v>67</v>
      </c>
      <c r="G15" s="275"/>
      <c r="H15" s="275" t="s">
        <v>58</v>
      </c>
      <c r="I15" s="275"/>
    </row>
    <row r="16" spans="1:9" s="1" customFormat="1" x14ac:dyDescent="0.25">
      <c r="A16" s="11">
        <v>50</v>
      </c>
      <c r="B16" s="1" t="s">
        <v>36</v>
      </c>
      <c r="C16" s="1" t="s">
        <v>39</v>
      </c>
      <c r="D16" s="1" t="s">
        <v>37</v>
      </c>
      <c r="E16" s="1" t="s">
        <v>38</v>
      </c>
      <c r="F16" s="1" t="s">
        <v>14</v>
      </c>
    </row>
    <row r="17" spans="1:10" s="1" customFormat="1" ht="30" x14ac:dyDescent="0.25">
      <c r="A17" s="11">
        <v>51</v>
      </c>
      <c r="B17" s="4" t="s">
        <v>40</v>
      </c>
      <c r="C17" s="1" t="s">
        <v>41</v>
      </c>
      <c r="D17" s="1" t="s">
        <v>71</v>
      </c>
      <c r="E17" s="1" t="s">
        <v>44</v>
      </c>
      <c r="F17" s="1" t="s">
        <v>14</v>
      </c>
      <c r="G17" s="1" t="s">
        <v>42</v>
      </c>
      <c r="H17" s="1" t="s">
        <v>43</v>
      </c>
    </row>
    <row r="18" spans="1:10" ht="45" x14ac:dyDescent="0.25">
      <c r="A18" s="11">
        <v>51</v>
      </c>
      <c r="B18" s="1" t="s">
        <v>52</v>
      </c>
      <c r="C18" s="1" t="s">
        <v>47</v>
      </c>
      <c r="D18" s="1" t="s">
        <v>74</v>
      </c>
      <c r="E18" s="1" t="s">
        <v>45</v>
      </c>
      <c r="F18" s="1" t="s">
        <v>14</v>
      </c>
      <c r="G18" s="1" t="s">
        <v>48</v>
      </c>
      <c r="H18" s="1" t="s">
        <v>49</v>
      </c>
      <c r="I18" s="1"/>
    </row>
    <row r="19" spans="1:10" ht="45" x14ac:dyDescent="0.25">
      <c r="A19" s="13">
        <v>51</v>
      </c>
      <c r="B19" s="5" t="s">
        <v>59</v>
      </c>
      <c r="C19" s="1" t="s">
        <v>47</v>
      </c>
      <c r="D19" s="1" t="s">
        <v>64</v>
      </c>
      <c r="E19" s="1" t="s">
        <v>61</v>
      </c>
      <c r="F19" s="1" t="s">
        <v>14</v>
      </c>
      <c r="G19" s="1" t="s">
        <v>60</v>
      </c>
      <c r="H19" s="1"/>
      <c r="I19" s="1"/>
    </row>
    <row r="20" spans="1:10" ht="30" x14ac:dyDescent="0.25">
      <c r="A20" s="273">
        <v>57</v>
      </c>
      <c r="B20" s="272" t="s">
        <v>75</v>
      </c>
      <c r="C20" s="272" t="s">
        <v>70</v>
      </c>
      <c r="D20" s="272" t="s">
        <v>71</v>
      </c>
      <c r="E20" s="272" t="s">
        <v>77</v>
      </c>
      <c r="F20" s="272" t="s">
        <v>67</v>
      </c>
      <c r="G20" s="272" t="s">
        <v>76</v>
      </c>
      <c r="H20" s="272" t="s">
        <v>69</v>
      </c>
      <c r="I20" s="272"/>
    </row>
    <row r="21" spans="1:10" x14ac:dyDescent="0.25">
      <c r="A21" s="273">
        <v>57</v>
      </c>
      <c r="B21" s="272" t="s">
        <v>78</v>
      </c>
      <c r="C21" s="272" t="s">
        <v>46</v>
      </c>
      <c r="D21" s="272" t="s">
        <v>65</v>
      </c>
      <c r="E21" s="272" t="s">
        <v>79</v>
      </c>
      <c r="F21" s="272" t="s">
        <v>67</v>
      </c>
      <c r="G21" s="272"/>
      <c r="H21" s="272"/>
      <c r="I21" s="272"/>
    </row>
    <row r="22" spans="1:10" ht="30" x14ac:dyDescent="0.25">
      <c r="A22" s="273">
        <v>57</v>
      </c>
      <c r="B22" s="272" t="s">
        <v>840</v>
      </c>
      <c r="C22" s="272" t="s">
        <v>70</v>
      </c>
      <c r="D22" s="272" t="s">
        <v>65</v>
      </c>
      <c r="E22" s="272"/>
      <c r="F22" s="272" t="s">
        <v>67</v>
      </c>
      <c r="G22" s="272"/>
      <c r="H22" s="272"/>
      <c r="I22" s="272"/>
    </row>
    <row r="23" spans="1:10" ht="30" x14ac:dyDescent="0.25">
      <c r="A23" s="11">
        <v>59</v>
      </c>
      <c r="B23" s="5" t="s">
        <v>80</v>
      </c>
      <c r="C23" s="1" t="s">
        <v>82</v>
      </c>
      <c r="D23" s="1" t="s">
        <v>83</v>
      </c>
      <c r="E23" s="1" t="s">
        <v>81</v>
      </c>
      <c r="F23" s="1" t="s">
        <v>14</v>
      </c>
      <c r="G23" s="271"/>
      <c r="H23" s="1"/>
      <c r="I23" s="1"/>
    </row>
    <row r="24" spans="1:10" x14ac:dyDescent="0.25">
      <c r="A24" s="11"/>
      <c r="B24" s="1"/>
      <c r="C24" s="1"/>
      <c r="D24" s="1"/>
      <c r="E24" s="1"/>
      <c r="F24" s="1"/>
      <c r="G24" s="1"/>
      <c r="H24" s="1"/>
      <c r="I24" s="1"/>
      <c r="J24" s="1"/>
    </row>
    <row r="25" spans="1:10" x14ac:dyDescent="0.25">
      <c r="A25" s="11"/>
      <c r="B25" s="1"/>
      <c r="C25" s="1"/>
      <c r="D25" s="1"/>
      <c r="E25" s="1"/>
      <c r="F25" s="1"/>
      <c r="G25" s="1"/>
      <c r="H25" s="1"/>
      <c r="I25" s="1"/>
      <c r="J25" s="1"/>
    </row>
    <row r="26" spans="1:10" ht="23.25" x14ac:dyDescent="0.25">
      <c r="A26" s="283" t="s">
        <v>866</v>
      </c>
      <c r="C26" s="1"/>
      <c r="D26" s="1"/>
      <c r="E26" s="1"/>
      <c r="F26" s="1"/>
      <c r="G26" s="1"/>
      <c r="H26" s="1"/>
      <c r="I26" s="1"/>
      <c r="J26" s="1"/>
    </row>
    <row r="27" spans="1:10" x14ac:dyDescent="0.25">
      <c r="A27" s="11"/>
      <c r="B27" s="1"/>
      <c r="C27" s="1"/>
      <c r="D27" s="1"/>
      <c r="E27" s="1"/>
      <c r="F27" s="1"/>
      <c r="G27" s="1"/>
      <c r="H27" s="1"/>
      <c r="I27" s="1"/>
      <c r="J27" s="1"/>
    </row>
    <row r="28" spans="1:10" x14ac:dyDescent="0.25">
      <c r="A28" s="11" t="s">
        <v>2</v>
      </c>
      <c r="B28" s="1" t="s">
        <v>671</v>
      </c>
      <c r="C28" s="1" t="s">
        <v>0</v>
      </c>
      <c r="D28" s="1" t="s">
        <v>672</v>
      </c>
      <c r="E28" s="1" t="s">
        <v>9</v>
      </c>
      <c r="F28" s="1" t="s">
        <v>673</v>
      </c>
      <c r="G28" s="1" t="s">
        <v>4</v>
      </c>
      <c r="H28" s="1" t="s">
        <v>3</v>
      </c>
      <c r="I28" s="1"/>
      <c r="J28" s="1"/>
    </row>
    <row r="29" spans="1:10" x14ac:dyDescent="0.25">
      <c r="A29" s="11">
        <v>128</v>
      </c>
      <c r="B29" s="1" t="s">
        <v>484</v>
      </c>
      <c r="C29" s="1" t="s">
        <v>485</v>
      </c>
      <c r="D29" s="1" t="s">
        <v>172</v>
      </c>
      <c r="E29" s="1"/>
      <c r="F29" s="1" t="s">
        <v>14</v>
      </c>
      <c r="G29" s="1" t="s">
        <v>487</v>
      </c>
      <c r="H29" s="1"/>
      <c r="I29" s="1"/>
      <c r="J29" s="1"/>
    </row>
    <row r="30" spans="1:10" x14ac:dyDescent="0.25">
      <c r="A30" s="11">
        <v>128</v>
      </c>
      <c r="B30" s="1" t="s">
        <v>483</v>
      </c>
      <c r="C30" s="1" t="s">
        <v>31</v>
      </c>
      <c r="D30" s="1" t="s">
        <v>486</v>
      </c>
      <c r="E30" s="1"/>
      <c r="F30" s="1" t="s">
        <v>352</v>
      </c>
      <c r="G30" s="1" t="s">
        <v>488</v>
      </c>
      <c r="H30" s="1"/>
      <c r="I30" s="1"/>
      <c r="J30" s="1"/>
    </row>
    <row r="31" spans="1:10" x14ac:dyDescent="0.25">
      <c r="A31" s="11">
        <v>128</v>
      </c>
      <c r="B31" s="1" t="s">
        <v>489</v>
      </c>
      <c r="C31" s="1" t="s">
        <v>31</v>
      </c>
      <c r="D31" s="1" t="s">
        <v>103</v>
      </c>
      <c r="E31" s="1" t="s">
        <v>496</v>
      </c>
      <c r="F31" s="1" t="s">
        <v>84</v>
      </c>
      <c r="G31" s="1" t="s">
        <v>490</v>
      </c>
      <c r="H31" s="1"/>
      <c r="I31" s="1"/>
      <c r="J31" s="1"/>
    </row>
    <row r="32" spans="1:10" x14ac:dyDescent="0.25">
      <c r="A32" s="11">
        <v>129</v>
      </c>
      <c r="B32" s="1" t="s">
        <v>491</v>
      </c>
      <c r="C32" s="1" t="s">
        <v>492</v>
      </c>
      <c r="D32" s="1" t="s">
        <v>493</v>
      </c>
      <c r="E32" s="1" t="s">
        <v>494</v>
      </c>
      <c r="F32" s="1" t="s">
        <v>67</v>
      </c>
      <c r="G32" s="1" t="s">
        <v>495</v>
      </c>
      <c r="H32" s="1"/>
      <c r="I32" s="1"/>
      <c r="J32" s="1"/>
    </row>
    <row r="33" spans="1:10" ht="30" x14ac:dyDescent="0.25">
      <c r="A33" s="11">
        <v>129</v>
      </c>
      <c r="B33" s="1" t="s">
        <v>497</v>
      </c>
      <c r="C33" s="1" t="s">
        <v>492</v>
      </c>
      <c r="D33" s="1" t="s">
        <v>493</v>
      </c>
      <c r="E33" s="1" t="s">
        <v>498</v>
      </c>
      <c r="F33" s="1" t="s">
        <v>67</v>
      </c>
      <c r="G33" s="1" t="s">
        <v>499</v>
      </c>
      <c r="H33" s="1"/>
      <c r="I33" s="1"/>
      <c r="J33" s="1"/>
    </row>
    <row r="34" spans="1:10" ht="30" x14ac:dyDescent="0.25">
      <c r="A34" s="11">
        <v>129</v>
      </c>
      <c r="B34" s="1" t="s">
        <v>502</v>
      </c>
      <c r="C34" s="1" t="s">
        <v>492</v>
      </c>
      <c r="D34" s="1" t="s">
        <v>503</v>
      </c>
      <c r="E34" s="1" t="s">
        <v>504</v>
      </c>
      <c r="F34" s="1" t="s">
        <v>67</v>
      </c>
      <c r="G34" s="1" t="s">
        <v>505</v>
      </c>
      <c r="H34" s="1"/>
      <c r="I34" s="1"/>
      <c r="J34" s="1"/>
    </row>
    <row r="35" spans="1:10" x14ac:dyDescent="0.25">
      <c r="A35" s="11">
        <v>129</v>
      </c>
      <c r="B35" s="1" t="s">
        <v>511</v>
      </c>
      <c r="C35" s="1" t="s">
        <v>492</v>
      </c>
      <c r="D35" s="1" t="s">
        <v>512</v>
      </c>
      <c r="E35" s="1" t="s">
        <v>513</v>
      </c>
      <c r="F35" s="1" t="s">
        <v>67</v>
      </c>
      <c r="G35" s="1" t="s">
        <v>505</v>
      </c>
      <c r="H35" s="1"/>
      <c r="I35" s="1"/>
      <c r="J35" s="1"/>
    </row>
    <row r="36" spans="1:10" ht="30" x14ac:dyDescent="0.25">
      <c r="A36" s="11">
        <v>130</v>
      </c>
      <c r="B36" s="1" t="s">
        <v>524</v>
      </c>
      <c r="C36" s="1" t="s">
        <v>526</v>
      </c>
      <c r="D36" s="1" t="s">
        <v>113</v>
      </c>
      <c r="E36" s="1" t="s">
        <v>525</v>
      </c>
      <c r="F36" s="1" t="s">
        <v>84</v>
      </c>
      <c r="G36" s="1" t="s">
        <v>527</v>
      </c>
      <c r="H36" s="1"/>
      <c r="I36" s="1"/>
      <c r="J36" s="1"/>
    </row>
    <row r="37" spans="1:10" ht="45" x14ac:dyDescent="0.25">
      <c r="A37" s="13">
        <v>130</v>
      </c>
      <c r="B37" s="1" t="s">
        <v>536</v>
      </c>
      <c r="C37" s="1" t="s">
        <v>359</v>
      </c>
      <c r="D37" s="1" t="s">
        <v>537</v>
      </c>
      <c r="E37" s="1" t="s">
        <v>538</v>
      </c>
      <c r="F37" s="1" t="s">
        <v>539</v>
      </c>
      <c r="G37" s="1" t="s">
        <v>540</v>
      </c>
      <c r="H37" s="3"/>
    </row>
    <row r="38" spans="1:10" ht="30" x14ac:dyDescent="0.25">
      <c r="A38" s="13">
        <v>130</v>
      </c>
      <c r="B38" s="1" t="s">
        <v>543</v>
      </c>
      <c r="C38" s="1" t="s">
        <v>544</v>
      </c>
      <c r="D38" s="1" t="s">
        <v>545</v>
      </c>
      <c r="E38" s="1" t="s">
        <v>546</v>
      </c>
      <c r="F38" s="1" t="s">
        <v>352</v>
      </c>
      <c r="G38" s="1" t="s">
        <v>674</v>
      </c>
      <c r="H38" s="3" t="s">
        <v>675</v>
      </c>
    </row>
    <row r="39" spans="1:10" ht="45" x14ac:dyDescent="0.25">
      <c r="A39" s="13">
        <v>130</v>
      </c>
      <c r="B39" s="1" t="s">
        <v>547</v>
      </c>
      <c r="C39" s="1" t="s">
        <v>544</v>
      </c>
      <c r="D39" s="1" t="s">
        <v>545</v>
      </c>
      <c r="E39" s="1" t="s">
        <v>548</v>
      </c>
      <c r="F39" s="1" t="s">
        <v>352</v>
      </c>
      <c r="G39" s="1" t="s">
        <v>676</v>
      </c>
      <c r="H39" s="3" t="s">
        <v>612</v>
      </c>
    </row>
    <row r="40" spans="1:10" ht="30" x14ac:dyDescent="0.25">
      <c r="A40" s="13">
        <v>134</v>
      </c>
      <c r="B40" s="1" t="s">
        <v>610</v>
      </c>
      <c r="C40" s="1" t="s">
        <v>31</v>
      </c>
      <c r="D40" s="1" t="s">
        <v>631</v>
      </c>
      <c r="E40" s="1" t="s">
        <v>611</v>
      </c>
      <c r="F40" s="1" t="s">
        <v>84</v>
      </c>
      <c r="G40" s="3"/>
      <c r="H40" s="1" t="s">
        <v>612</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Introduction</vt:lpstr>
      <vt:lpstr>1_PolicyDatabase</vt:lpstr>
      <vt:lpstr>2_MetaAnalysis</vt:lpstr>
      <vt:lpstr>3_Investment</vt:lpstr>
      <vt:lpstr>4_Other</vt:lpstr>
      <vt:lpstr>Introduction!_ftnref1</vt:lpstr>
      <vt:lpstr>Introduction!_ftnref2</vt:lpstr>
      <vt:lpstr>Table2</vt:lpstr>
      <vt:lpstr>TableIB</vt:lpstr>
    </vt:vector>
  </TitlesOfParts>
  <Company>School of Geography, 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dc:creator>
  <cp:lastModifiedBy>Tina Fawcett</cp:lastModifiedBy>
  <dcterms:created xsi:type="dcterms:W3CDTF">2018-06-06T12:52:06Z</dcterms:created>
  <dcterms:modified xsi:type="dcterms:W3CDTF">2019-07-01T10:50:35Z</dcterms:modified>
</cp:coreProperties>
</file>